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g Moon Dig\Lite Game Notes\"/>
    </mc:Choice>
  </mc:AlternateContent>
  <bookViews>
    <workbookView xWindow="120" yWindow="36" windowWidth="15180" windowHeight="11388"/>
  </bookViews>
  <sheets>
    <sheet name="Calculations" sheetId="1" r:id="rId1"/>
  </sheets>
  <calcPr calcId="152511"/>
</workbook>
</file>

<file path=xl/calcChain.xml><?xml version="1.0" encoding="utf-8"?>
<calcChain xmlns="http://schemas.openxmlformats.org/spreadsheetml/2006/main">
  <c r="J124" i="1" l="1"/>
  <c r="K124" i="1"/>
  <c r="E124" i="1"/>
  <c r="C72" i="1"/>
  <c r="C70" i="1"/>
  <c r="E70" i="1" s="1"/>
  <c r="C71" i="1"/>
  <c r="C69" i="1"/>
  <c r="E62" i="1"/>
  <c r="C55" i="1" l="1"/>
  <c r="J128" i="1"/>
  <c r="K128" i="1"/>
  <c r="J127" i="1"/>
  <c r="K127" i="1"/>
  <c r="E128" i="1"/>
  <c r="J126" i="1"/>
  <c r="J125" i="1"/>
  <c r="J123" i="1"/>
  <c r="J122" i="1"/>
  <c r="J121" i="1"/>
  <c r="J120" i="1"/>
  <c r="K126" i="1"/>
  <c r="K125" i="1"/>
  <c r="K123" i="1"/>
  <c r="K122" i="1"/>
  <c r="K121" i="1"/>
  <c r="K120" i="1"/>
  <c r="E127" i="1"/>
  <c r="E126" i="1"/>
  <c r="E125" i="1"/>
  <c r="E123" i="1"/>
  <c r="E122" i="1"/>
  <c r="E121" i="1"/>
  <c r="E120" i="1"/>
  <c r="C110" i="1" l="1"/>
  <c r="D34" i="1"/>
  <c r="F34" i="1" s="1"/>
  <c r="F27" i="1"/>
  <c r="F26" i="1"/>
  <c r="C46" i="1" l="1"/>
  <c r="C45" i="1"/>
  <c r="C44" i="1"/>
  <c r="E43" i="1" s="1"/>
  <c r="E41" i="1" l="1"/>
  <c r="E42" i="1"/>
  <c r="E53" i="1"/>
  <c r="F16" i="1"/>
  <c r="D17" i="1"/>
  <c r="F19" i="1"/>
  <c r="C77" i="1" l="1"/>
  <c r="E77" i="1" s="1"/>
  <c r="C80" i="1" s="1"/>
  <c r="E80" i="1" s="1"/>
  <c r="C109" i="1"/>
  <c r="C112" i="1" s="1"/>
  <c r="C113" i="1" s="1"/>
  <c r="D20" i="1"/>
  <c r="D22" i="1"/>
  <c r="F22" i="1" s="1"/>
  <c r="C93" i="1"/>
  <c r="C92" i="1"/>
  <c r="C91" i="1"/>
  <c r="C84" i="1"/>
  <c r="C85" i="1"/>
  <c r="C86" i="1"/>
  <c r="C76" i="1"/>
  <c r="E76" i="1" s="1"/>
  <c r="G76" i="1" s="1"/>
  <c r="G77" i="1" l="1"/>
  <c r="D23" i="1"/>
  <c r="C62" i="1" s="1"/>
  <c r="D117" i="1"/>
  <c r="C53" i="1"/>
  <c r="C103" i="1"/>
  <c r="E84" i="1"/>
  <c r="C102" i="1"/>
  <c r="G91" i="1"/>
  <c r="E91" i="1"/>
  <c r="G92" i="1"/>
  <c r="E92" i="1"/>
  <c r="G93" i="1"/>
  <c r="E93" i="1"/>
  <c r="G85" i="1"/>
  <c r="E85" i="1"/>
  <c r="G84" i="1"/>
  <c r="G86" i="1"/>
  <c r="E86" i="1"/>
  <c r="C79" i="1"/>
  <c r="F124" i="1" l="1"/>
  <c r="L124" i="1"/>
  <c r="L123" i="1"/>
  <c r="L122" i="1"/>
  <c r="L126" i="1"/>
  <c r="L121" i="1"/>
  <c r="F121" i="1"/>
  <c r="F123" i="1"/>
  <c r="F120" i="1"/>
  <c r="L120" i="1"/>
  <c r="F125" i="1"/>
  <c r="F122" i="1"/>
  <c r="L128" i="1"/>
  <c r="F127" i="1"/>
  <c r="F126" i="1"/>
  <c r="L127" i="1"/>
  <c r="L125" i="1"/>
  <c r="F128" i="1"/>
  <c r="G103" i="1"/>
  <c r="J105" i="1" s="1"/>
  <c r="G102" i="1"/>
  <c r="G105" i="1" s="1"/>
  <c r="E103" i="1"/>
  <c r="I105" i="1" s="1"/>
  <c r="E102" i="1"/>
  <c r="F105" i="1" s="1"/>
  <c r="H105" i="1" l="1"/>
  <c r="K105" i="1"/>
  <c r="G70" i="1"/>
  <c r="C97" i="1"/>
  <c r="G97" i="1" s="1"/>
  <c r="E97" i="1"/>
  <c r="C96" i="1"/>
  <c r="G96" i="1" s="1"/>
  <c r="C98" i="1"/>
  <c r="G98" i="1" s="1"/>
  <c r="E98" i="1"/>
  <c r="E96" i="1" l="1"/>
</calcChain>
</file>

<file path=xl/sharedStrings.xml><?xml version="1.0" encoding="utf-8"?>
<sst xmlns="http://schemas.openxmlformats.org/spreadsheetml/2006/main" count="229" uniqueCount="130">
  <si>
    <t>Lunar Settlement Calculations</t>
  </si>
  <si>
    <t>Tom Riley</t>
  </si>
  <si>
    <t>km</t>
  </si>
  <si>
    <t>degree</t>
  </si>
  <si>
    <t>Moon Radius/Dia</t>
  </si>
  <si>
    <t>Crater Malapert Lat/log</t>
  </si>
  <si>
    <t>Moon Disk from Earth</t>
  </si>
  <si>
    <t>Earth Disk from Moon</t>
  </si>
  <si>
    <t>rad</t>
  </si>
  <si>
    <t>Ratio E/M</t>
  </si>
  <si>
    <t>units</t>
  </si>
  <si>
    <t xml:space="preserve">degree </t>
  </si>
  <si>
    <t>E disk</t>
  </si>
  <si>
    <t>Moon Orbit inclination</t>
  </si>
  <si>
    <t>Estimate</t>
  </si>
  <si>
    <t>Hand at arms length</t>
  </si>
  <si>
    <t>finger</t>
  </si>
  <si>
    <t>Finger at arms length</t>
  </si>
  <si>
    <t>hands</t>
  </si>
  <si>
    <t>Purpose:</t>
  </si>
  <si>
    <t>1.  Physical constants for Moon</t>
  </si>
  <si>
    <t>"The Big Moon Dig"</t>
  </si>
  <si>
    <t>This spreadsheet was used in writing the short story,</t>
  </si>
  <si>
    <t>Earth Moon Distance</t>
  </si>
  <si>
    <t>Width of Hand</t>
  </si>
  <si>
    <t>Width of Finger</t>
  </si>
  <si>
    <t>Length of arm</t>
  </si>
  <si>
    <t>cm</t>
  </si>
  <si>
    <t>(inches)</t>
  </si>
  <si>
    <t>inch/cm</t>
  </si>
  <si>
    <t>2.  Human Rules of Thumb</t>
  </si>
  <si>
    <t>South</t>
  </si>
  <si>
    <t>Earth Radii/Diameter</t>
  </si>
  <si>
    <t>5. Calculations of apparent size &amp; angle of Earth</t>
  </si>
  <si>
    <t>Depth</t>
  </si>
  <si>
    <t>5.  Data on South Pole-Aitken Basin</t>
  </si>
  <si>
    <t>Diameter</t>
  </si>
  <si>
    <t>Days</t>
  </si>
  <si>
    <t>Sun to North, lowest</t>
  </si>
  <si>
    <t>Sun to South, lowest</t>
  </si>
  <si>
    <t>Notes:</t>
  </si>
  <si>
    <t>http://en.wikipedia.org/wiki/Moon_orbit</t>
  </si>
  <si>
    <t>Moon axis tilt</t>
  </si>
  <si>
    <t>Mean inclination to orbit to ecliptic</t>
  </si>
  <si>
    <t>Min inclination to orbit to ecliptic</t>
  </si>
  <si>
    <t>Max inclination to orbit to ecliptic</t>
  </si>
  <si>
    <t>Orbital period</t>
  </si>
  <si>
    <t>approximant</t>
  </si>
  <si>
    <t>1.  "Orbit of the Moon" (Wikipedia, Internet) http://en.wikipedia.org/wiki/Moon_orbit</t>
  </si>
  <si>
    <t>Earth above H mean</t>
  </si>
  <si>
    <t>High Noon:</t>
  </si>
  <si>
    <t>Midnight:</t>
  </si>
  <si>
    <t>Sun to North, mean</t>
  </si>
  <si>
    <t>Advantage angle Mt + basin</t>
  </si>
  <si>
    <t>Advantage angle Mt only</t>
  </si>
  <si>
    <t>7. Calculations of apparent angle of Sun</t>
  </si>
  <si>
    <t>Sun to south,  mean</t>
  </si>
  <si>
    <t>Sun to South, highest</t>
  </si>
  <si>
    <t>Sun to North, highest</t>
  </si>
  <si>
    <t>Earth above H lowest</t>
  </si>
  <si>
    <t>Earth above H highest</t>
  </si>
  <si>
    <t>Sun angle</t>
  </si>
  <si>
    <t>Earth Angle</t>
  </si>
  <si>
    <t>Height of rock</t>
  </si>
  <si>
    <t>m</t>
  </si>
  <si>
    <t>Max</t>
  </si>
  <si>
    <t xml:space="preserve">Min </t>
  </si>
  <si>
    <t>Moon Circumference</t>
  </si>
  <si>
    <t>Earth Sun Distance</t>
  </si>
  <si>
    <t>Sun Diameter</t>
  </si>
  <si>
    <t>Solar Disk</t>
  </si>
  <si>
    <t>Location, Step 1</t>
  </si>
  <si>
    <t>Beta Version</t>
  </si>
  <si>
    <t>File:  BMDLocationCalExcelmmddyy.xlsx</t>
  </si>
  <si>
    <t>Speed of Light</t>
  </si>
  <si>
    <t>km/sec</t>
  </si>
  <si>
    <t>Earth/Moon one way</t>
  </si>
  <si>
    <t>Earth/Geo one way</t>
  </si>
  <si>
    <t>Typical Earth/Moon Trip</t>
  </si>
  <si>
    <t>sec</t>
  </si>
  <si>
    <t>typical</t>
  </si>
  <si>
    <t>Degree Longitude</t>
  </si>
  <si>
    <t>11.  Summation</t>
  </si>
  <si>
    <t>Center</t>
  </si>
  <si>
    <r>
      <t>Malapert</t>
    </r>
    <r>
      <rPr>
        <sz val="12"/>
        <color theme="1"/>
        <rFont val="Calibri"/>
        <family val="2"/>
        <scheme val="minor"/>
      </rPr>
      <t xml:space="preserve"> Area</t>
    </r>
  </si>
  <si>
    <r>
      <t>Scott</t>
    </r>
    <r>
      <rPr>
        <sz val="12"/>
        <color theme="1"/>
        <rFont val="Calibri"/>
        <family val="2"/>
        <scheme val="minor"/>
      </rPr>
      <t xml:space="preserve"> Site</t>
    </r>
  </si>
  <si>
    <r>
      <t>Scott</t>
    </r>
    <r>
      <rPr>
        <sz val="12"/>
        <color theme="1"/>
        <rFont val="Calibri"/>
        <family val="2"/>
        <scheme val="minor"/>
      </rPr>
      <t xml:space="preserve"> Area</t>
    </r>
  </si>
  <si>
    <r>
      <t>Marius</t>
    </r>
    <r>
      <rPr>
        <sz val="12"/>
        <color theme="1"/>
        <rFont val="Calibri"/>
        <family val="2"/>
        <scheme val="minor"/>
      </rPr>
      <t xml:space="preserve"> Hills</t>
    </r>
  </si>
  <si>
    <r>
      <t>Marius</t>
    </r>
    <r>
      <rPr>
        <sz val="12"/>
        <color theme="1"/>
        <rFont val="Calibri"/>
        <family val="2"/>
        <scheme val="minor"/>
      </rPr>
      <t xml:space="preserve"> Site</t>
    </r>
  </si>
  <si>
    <t>Km/degree</t>
  </si>
  <si>
    <t>Long</t>
  </si>
  <si>
    <t>Delta</t>
  </si>
  <si>
    <t>Lat</t>
  </si>
  <si>
    <t>Malapert Small</t>
  </si>
  <si>
    <t>East-West</t>
  </si>
  <si>
    <t>North-South</t>
  </si>
  <si>
    <r>
      <rPr>
        <b/>
        <sz val="12"/>
        <color theme="1"/>
        <rFont val="Calibri"/>
        <family val="2"/>
        <scheme val="minor"/>
      </rPr>
      <t xml:space="preserve">Malapert </t>
    </r>
    <r>
      <rPr>
        <sz val="12"/>
        <color theme="1"/>
        <rFont val="Calibri"/>
        <family val="2"/>
        <scheme val="minor"/>
      </rPr>
      <t>Site</t>
    </r>
  </si>
  <si>
    <t>Malapert Lat/Longitude</t>
  </si>
  <si>
    <t>Malapert Alt</t>
  </si>
  <si>
    <t>Malapert to pole</t>
  </si>
  <si>
    <t xml:space="preserve">4.  Data on Scott Massif </t>
  </si>
  <si>
    <t>Crater Scott A Lat/log</t>
  </si>
  <si>
    <t>Scott Lat/Longitude</t>
  </si>
  <si>
    <t>Scott Alt</t>
  </si>
  <si>
    <t>Scott to pole</t>
  </si>
  <si>
    <t>and the lite game, Location, Step 1</t>
  </si>
  <si>
    <t xml:space="preserve">Lunar Disk </t>
  </si>
  <si>
    <t>Geostationary orbit</t>
  </si>
  <si>
    <t>8.  Rock Shadow</t>
  </si>
  <si>
    <t>Sun Shadow</t>
  </si>
  <si>
    <t>Earth Shadow</t>
  </si>
  <si>
    <t>9.  Communication Delay</t>
  </si>
  <si>
    <t>Electronic Delay, typical</t>
  </si>
  <si>
    <t>Typical Earth/Moon two way</t>
  </si>
  <si>
    <t>10.  Attitude and longitude to km</t>
  </si>
  <si>
    <t>Longitude Degree</t>
  </si>
  <si>
    <t>Aitken bottom</t>
  </si>
  <si>
    <t>Alti</t>
  </si>
  <si>
    <t>Haworth Alt</t>
  </si>
  <si>
    <t>Delta Alt</t>
  </si>
  <si>
    <t>at -45, 180</t>
  </si>
  <si>
    <t>Total Avantage</t>
  </si>
  <si>
    <t>Lunar Eclipse time</t>
  </si>
  <si>
    <t>Minutes</t>
  </si>
  <si>
    <t>Hr</t>
  </si>
  <si>
    <t>Higher than Malapert</t>
  </si>
  <si>
    <t>Scott core</t>
  </si>
  <si>
    <t>Mt. Malapert &amp; Scott Massif</t>
  </si>
  <si>
    <t>3.  Data on Mt. Malapert</t>
  </si>
  <si>
    <t>6.  Angle of Earth as seen from Mt. Malapert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</si>
</sst>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5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165" fontId="0" fillId="0" borderId="0" xfId="0" applyNumberFormat="1"/>
    <xf numFmtId="0" fontId="2" fillId="0" borderId="0" xfId="0" applyFont="1"/>
    <xf numFmtId="0" fontId="4" fillId="0" borderId="0" xfId="0" applyFont="1"/>
    <xf numFmtId="15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Alignment="1" applyProtection="1"/>
    <xf numFmtId="2" fontId="0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2" fontId="1" fillId="0" borderId="0" xfId="0" applyNumberFormat="1" applyFont="1"/>
    <xf numFmtId="166" fontId="0" fillId="0" borderId="0" xfId="0" applyNumberFormat="1"/>
    <xf numFmtId="0" fontId="6" fillId="0" borderId="0" xfId="0" applyFont="1"/>
    <xf numFmtId="0" fontId="0" fillId="0" borderId="0" xfId="0" quotePrefix="1"/>
    <xf numFmtId="3" fontId="0" fillId="0" borderId="0" xfId="0" applyNumberFormat="1"/>
    <xf numFmtId="0" fontId="7" fillId="0" borderId="0" xfId="0" applyFont="1"/>
    <xf numFmtId="0" fontId="7" fillId="0" borderId="0" xfId="0" applyFont="1" applyAlignment="1">
      <alignment horizontal="left" indent="2"/>
    </xf>
    <xf numFmtId="2" fontId="7" fillId="0" borderId="0" xfId="0" applyNumberFormat="1" applyFont="1"/>
    <xf numFmtId="165" fontId="0" fillId="0" borderId="0" xfId="0" applyNumberFormat="1" applyFont="1" applyAlignment="1">
      <alignment horizontal="center"/>
    </xf>
    <xf numFmtId="165" fontId="1" fillId="0" borderId="0" xfId="0" applyNumberFormat="1" applyFont="1"/>
    <xf numFmtId="1" fontId="0" fillId="0" borderId="0" xfId="0" applyNumberFormat="1" applyAlignment="1">
      <alignment horizontal="center"/>
    </xf>
    <xf numFmtId="166" fontId="0" fillId="0" borderId="0" xfId="0" quotePrefix="1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4</xdr:row>
      <xdr:rowOff>167640</xdr:rowOff>
    </xdr:from>
    <xdr:to>
      <xdr:col>12</xdr:col>
      <xdr:colOff>175260</xdr:colOff>
      <xdr:row>20</xdr:row>
      <xdr:rowOff>131484</xdr:rowOff>
    </xdr:to>
    <xdr:pic>
      <xdr:nvPicPr>
        <xdr:cNvPr id="2" name="Picture 1" descr="LOLAMalapert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5840" y="822960"/>
          <a:ext cx="3208020" cy="2920404"/>
        </a:xfrm>
        <a:prstGeom prst="rect">
          <a:avLst/>
        </a:prstGeom>
      </xdr:spPr>
    </xdr:pic>
    <xdr:clientData/>
  </xdr:twoCellAnchor>
  <xdr:oneCellAnchor>
    <xdr:from>
      <xdr:col>0</xdr:col>
      <xdr:colOff>640080</xdr:colOff>
      <xdr:row>135</xdr:row>
      <xdr:rowOff>22860</xdr:rowOff>
    </xdr:from>
    <xdr:ext cx="4709160" cy="1003700"/>
    <xdr:sp macro="" textlink="">
      <xdr:nvSpPr>
        <xdr:cNvPr id="3" name="TextBox 2"/>
        <xdr:cNvSpPr txBox="1"/>
      </xdr:nvSpPr>
      <xdr:spPr>
        <a:xfrm>
          <a:off x="640080" y="11239500"/>
          <a:ext cx="4709160" cy="1003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From</a:t>
          </a:r>
          <a:r>
            <a:rPr lang="en-US" sz="1100" baseline="0"/>
            <a:t> the top of the Mt. Malapert:</a:t>
          </a:r>
        </a:p>
        <a:p>
          <a:r>
            <a:rPr lang="en-US" sz="1100" baseline="0"/>
            <a:t>   1.  The sun disk is 3.7 times as big as the lunar disk from Earth</a:t>
          </a:r>
        </a:p>
        <a:p>
          <a:r>
            <a:rPr lang="en-US" sz="1100" baseline="0"/>
            <a:t>   2.  The sun disk never gets more than 1.75 hand widths above the horizon</a:t>
          </a:r>
        </a:p>
        <a:p>
          <a:r>
            <a:rPr lang="en-US" sz="1100" baseline="0"/>
            <a:t>   3.  The sun disk never quite goes completely below the horizon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.wikipedia.org/wiki/Moon_orb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workbookViewId="0">
      <selection activeCell="B5" sqref="B5"/>
    </sheetView>
  </sheetViews>
  <sheetFormatPr defaultRowHeight="14.4" x14ac:dyDescent="0.3"/>
  <cols>
    <col min="1" max="1" width="9.44140625" bestFit="1" customWidth="1"/>
    <col min="2" max="2" width="16.109375" customWidth="1"/>
    <col min="3" max="3" width="10.21875" bestFit="1" customWidth="1"/>
    <col min="4" max="4" width="16.6640625" bestFit="1" customWidth="1"/>
  </cols>
  <sheetData>
    <row r="1" spans="1:7" ht="18" x14ac:dyDescent="0.35">
      <c r="E1" s="13" t="s">
        <v>0</v>
      </c>
      <c r="F1" s="8"/>
      <c r="G1" s="8"/>
    </row>
    <row r="2" spans="1:7" ht="18" x14ac:dyDescent="0.35">
      <c r="E2" s="13" t="s">
        <v>71</v>
      </c>
      <c r="F2" s="8"/>
      <c r="G2" s="8"/>
    </row>
    <row r="3" spans="1:7" ht="18" x14ac:dyDescent="0.35">
      <c r="E3" s="13" t="s">
        <v>127</v>
      </c>
      <c r="F3" s="8"/>
      <c r="G3" s="8"/>
    </row>
    <row r="4" spans="1:7" ht="15.6" x14ac:dyDescent="0.3">
      <c r="E4" s="14"/>
    </row>
    <row r="5" spans="1:7" ht="15.6" x14ac:dyDescent="0.3">
      <c r="E5" s="7"/>
    </row>
    <row r="6" spans="1:7" x14ac:dyDescent="0.3">
      <c r="A6" t="s">
        <v>1</v>
      </c>
      <c r="E6" s="22" t="s">
        <v>72</v>
      </c>
    </row>
    <row r="7" spans="1:7" x14ac:dyDescent="0.3">
      <c r="A7" s="1">
        <v>41657</v>
      </c>
    </row>
    <row r="8" spans="1:7" x14ac:dyDescent="0.3">
      <c r="A8" s="1" t="s">
        <v>73</v>
      </c>
    </row>
    <row r="9" spans="1:7" x14ac:dyDescent="0.3">
      <c r="A9" s="1"/>
    </row>
    <row r="10" spans="1:7" x14ac:dyDescent="0.3">
      <c r="A10" s="9" t="s">
        <v>19</v>
      </c>
      <c r="B10" t="s">
        <v>22</v>
      </c>
    </row>
    <row r="11" spans="1:7" x14ac:dyDescent="0.3">
      <c r="A11" s="1"/>
      <c r="B11" t="s">
        <v>21</v>
      </c>
    </row>
    <row r="12" spans="1:7" x14ac:dyDescent="0.3">
      <c r="A12" s="1"/>
      <c r="B12" s="23" t="s">
        <v>105</v>
      </c>
    </row>
    <row r="14" spans="1:7" ht="15.6" x14ac:dyDescent="0.3">
      <c r="A14" s="7" t="s">
        <v>20</v>
      </c>
    </row>
    <row r="16" spans="1:7" x14ac:dyDescent="0.3">
      <c r="A16" t="s">
        <v>32</v>
      </c>
      <c r="D16">
        <v>6371</v>
      </c>
      <c r="E16" s="11" t="s">
        <v>2</v>
      </c>
      <c r="F16">
        <f>D16*2</f>
        <v>12742</v>
      </c>
      <c r="G16" s="11" t="s">
        <v>2</v>
      </c>
    </row>
    <row r="17" spans="1:7" x14ac:dyDescent="0.3">
      <c r="A17" t="s">
        <v>23</v>
      </c>
      <c r="D17">
        <f>(363295 + 405503)/2</f>
        <v>384399</v>
      </c>
      <c r="E17" s="11" t="s">
        <v>2</v>
      </c>
      <c r="G17" s="11"/>
    </row>
    <row r="18" spans="1:7" x14ac:dyDescent="0.3">
      <c r="E18" s="11"/>
      <c r="G18" s="11"/>
    </row>
    <row r="19" spans="1:7" x14ac:dyDescent="0.3">
      <c r="A19" t="s">
        <v>4</v>
      </c>
      <c r="D19">
        <v>1737</v>
      </c>
      <c r="E19" s="11" t="s">
        <v>2</v>
      </c>
      <c r="F19">
        <f>D19*2</f>
        <v>3474</v>
      </c>
      <c r="G19" s="11" t="s">
        <v>2</v>
      </c>
    </row>
    <row r="20" spans="1:7" x14ac:dyDescent="0.3">
      <c r="A20" t="s">
        <v>67</v>
      </c>
      <c r="D20" s="2">
        <f>F19*PI()</f>
        <v>10913.892878570941</v>
      </c>
      <c r="E20" s="11" t="s">
        <v>2</v>
      </c>
      <c r="G20" s="10"/>
    </row>
    <row r="21" spans="1:7" x14ac:dyDescent="0.3">
      <c r="A21" t="s">
        <v>46</v>
      </c>
      <c r="D21">
        <v>29.2</v>
      </c>
      <c r="E21" s="11" t="s">
        <v>37</v>
      </c>
      <c r="G21" s="10"/>
    </row>
    <row r="22" spans="1:7" x14ac:dyDescent="0.3">
      <c r="A22" t="s">
        <v>106</v>
      </c>
      <c r="D22" s="21">
        <f>ATAN(F19/D17)</f>
        <v>9.037238451923545E-3</v>
      </c>
      <c r="E22" s="11" t="s">
        <v>8</v>
      </c>
      <c r="F22" s="5">
        <f>D22*180/PI()</f>
        <v>0.51779562174856086</v>
      </c>
      <c r="G22" s="11" t="s">
        <v>3</v>
      </c>
    </row>
    <row r="23" spans="1:7" x14ac:dyDescent="0.3">
      <c r="A23" t="s">
        <v>81</v>
      </c>
      <c r="D23" s="6">
        <f>D20/360</f>
        <v>30.316369107141504</v>
      </c>
      <c r="E23" s="11" t="s">
        <v>2</v>
      </c>
      <c r="F23" s="5"/>
      <c r="G23" s="11"/>
    </row>
    <row r="24" spans="1:7" x14ac:dyDescent="0.3">
      <c r="C24" s="2"/>
      <c r="D24" s="11"/>
      <c r="F24" s="10"/>
      <c r="G24" s="10"/>
    </row>
    <row r="25" spans="1:7" x14ac:dyDescent="0.3">
      <c r="A25" t="s">
        <v>43</v>
      </c>
      <c r="C25" s="2"/>
      <c r="D25" s="16">
        <v>5.14</v>
      </c>
      <c r="E25" s="11" t="s">
        <v>3</v>
      </c>
      <c r="F25" s="10"/>
      <c r="G25" s="10"/>
    </row>
    <row r="26" spans="1:7" x14ac:dyDescent="0.3">
      <c r="A26" t="s">
        <v>44</v>
      </c>
      <c r="C26" s="2"/>
      <c r="D26" s="16">
        <v>4.99</v>
      </c>
      <c r="E26" s="11" t="s">
        <v>3</v>
      </c>
      <c r="F26" s="18">
        <f>D26-$D$25</f>
        <v>-0.14999999999999947</v>
      </c>
      <c r="G26" s="11" t="s">
        <v>3</v>
      </c>
    </row>
    <row r="27" spans="1:7" x14ac:dyDescent="0.3">
      <c r="A27" t="s">
        <v>45</v>
      </c>
      <c r="C27" s="2"/>
      <c r="D27" s="16">
        <v>5.3</v>
      </c>
      <c r="E27" s="11" t="s">
        <v>3</v>
      </c>
      <c r="F27" s="18">
        <f>D27-$D$25</f>
        <v>0.16000000000000014</v>
      </c>
      <c r="G27" s="11" t="s">
        <v>3</v>
      </c>
    </row>
    <row r="28" spans="1:7" x14ac:dyDescent="0.3">
      <c r="C28" s="2"/>
      <c r="D28" s="17"/>
      <c r="F28" s="10"/>
    </row>
    <row r="29" spans="1:7" x14ac:dyDescent="0.3">
      <c r="A29" t="s">
        <v>13</v>
      </c>
      <c r="D29" s="5">
        <v>5.1449999999999996</v>
      </c>
      <c r="E29" s="11" t="s">
        <v>3</v>
      </c>
      <c r="G29" s="10"/>
    </row>
    <row r="30" spans="1:7" x14ac:dyDescent="0.3">
      <c r="A30" t="s">
        <v>42</v>
      </c>
      <c r="D30" s="5">
        <v>1.5525</v>
      </c>
      <c r="E30" s="11" t="s">
        <v>3</v>
      </c>
    </row>
    <row r="31" spans="1:7" x14ac:dyDescent="0.3">
      <c r="D31" s="5"/>
      <c r="E31" s="11"/>
      <c r="G31" s="10"/>
    </row>
    <row r="32" spans="1:7" x14ac:dyDescent="0.3">
      <c r="A32" t="s">
        <v>68</v>
      </c>
      <c r="D32" s="5">
        <v>148348276</v>
      </c>
      <c r="E32" s="11" t="s">
        <v>2</v>
      </c>
      <c r="G32" s="10"/>
    </row>
    <row r="33" spans="1:7" x14ac:dyDescent="0.3">
      <c r="A33" t="s">
        <v>69</v>
      </c>
      <c r="D33" s="5">
        <v>1392684</v>
      </c>
      <c r="E33" s="11" t="s">
        <v>2</v>
      </c>
      <c r="G33" s="10"/>
    </row>
    <row r="34" spans="1:7" x14ac:dyDescent="0.3">
      <c r="A34" t="s">
        <v>70</v>
      </c>
      <c r="D34" s="21">
        <f>ATAN(D33/D32)</f>
        <v>9.3876594036404123E-3</v>
      </c>
      <c r="E34" s="11" t="s">
        <v>8</v>
      </c>
      <c r="F34" s="5">
        <f>D34*180/PI()</f>
        <v>0.53787326333489494</v>
      </c>
      <c r="G34" s="11" t="s">
        <v>3</v>
      </c>
    </row>
    <row r="35" spans="1:7" x14ac:dyDescent="0.3">
      <c r="D35" s="21"/>
      <c r="E35" s="11"/>
      <c r="F35" s="5"/>
      <c r="G35" s="11"/>
    </row>
    <row r="36" spans="1:7" x14ac:dyDescent="0.3">
      <c r="A36" t="s">
        <v>74</v>
      </c>
      <c r="D36" s="2">
        <v>299792.45799999998</v>
      </c>
      <c r="E36" s="11" t="s">
        <v>75</v>
      </c>
      <c r="F36" s="5"/>
      <c r="G36" s="11"/>
    </row>
    <row r="37" spans="1:7" x14ac:dyDescent="0.3">
      <c r="A37" t="s">
        <v>107</v>
      </c>
      <c r="D37" s="24">
        <v>35786</v>
      </c>
      <c r="E37" s="11" t="s">
        <v>2</v>
      </c>
      <c r="F37" s="5"/>
      <c r="G37" s="11"/>
    </row>
    <row r="38" spans="1:7" x14ac:dyDescent="0.3">
      <c r="D38" s="10"/>
      <c r="F38" s="10"/>
    </row>
    <row r="39" spans="1:7" ht="15.6" x14ac:dyDescent="0.3">
      <c r="A39" s="7" t="s">
        <v>30</v>
      </c>
      <c r="D39" s="10"/>
      <c r="F39" s="10"/>
    </row>
    <row r="40" spans="1:7" ht="15.6" x14ac:dyDescent="0.3">
      <c r="A40" s="7"/>
      <c r="D40" s="10"/>
      <c r="F40" s="10"/>
    </row>
    <row r="41" spans="1:7" x14ac:dyDescent="0.3">
      <c r="A41" t="s">
        <v>24</v>
      </c>
      <c r="C41" s="3">
        <v>8</v>
      </c>
      <c r="D41" s="11" t="s">
        <v>27</v>
      </c>
      <c r="E41" s="3">
        <f>C41*$C$44</f>
        <v>3.2653061224489792</v>
      </c>
      <c r="F41" s="10" t="s">
        <v>28</v>
      </c>
    </row>
    <row r="42" spans="1:7" x14ac:dyDescent="0.3">
      <c r="A42" t="s">
        <v>25</v>
      </c>
      <c r="C42" s="3">
        <v>1.5</v>
      </c>
      <c r="D42" s="11" t="s">
        <v>27</v>
      </c>
      <c r="E42" s="3">
        <f t="shared" ref="E42:E43" si="0">C42*$C$44</f>
        <v>0.61224489795918358</v>
      </c>
      <c r="F42" s="10" t="s">
        <v>28</v>
      </c>
    </row>
    <row r="43" spans="1:7" x14ac:dyDescent="0.3">
      <c r="A43" t="s">
        <v>26</v>
      </c>
      <c r="C43" s="3">
        <v>60</v>
      </c>
      <c r="D43" s="11" t="s">
        <v>27</v>
      </c>
      <c r="E43" s="3">
        <f t="shared" si="0"/>
        <v>24.489795918367346</v>
      </c>
      <c r="F43" s="10" t="s">
        <v>28</v>
      </c>
    </row>
    <row r="44" spans="1:7" x14ac:dyDescent="0.3">
      <c r="A44" t="s">
        <v>29</v>
      </c>
      <c r="C44" s="3">
        <f>1/2.45</f>
        <v>0.4081632653061224</v>
      </c>
      <c r="D44" s="12" t="s">
        <v>10</v>
      </c>
      <c r="F44" s="10"/>
    </row>
    <row r="45" spans="1:7" x14ac:dyDescent="0.3">
      <c r="A45" t="s">
        <v>17</v>
      </c>
      <c r="C45" s="3">
        <f>DEGREES(ASIN(C42/C43))</f>
        <v>1.4325437375665075</v>
      </c>
      <c r="D45" s="11" t="s">
        <v>3</v>
      </c>
    </row>
    <row r="46" spans="1:7" x14ac:dyDescent="0.3">
      <c r="A46" t="s">
        <v>15</v>
      </c>
      <c r="C46" s="3">
        <f>DEGREES(ASIN(C41/C43))</f>
        <v>7.662255660766065</v>
      </c>
      <c r="D46" s="11" t="s">
        <v>3</v>
      </c>
    </row>
    <row r="47" spans="1:7" x14ac:dyDescent="0.3">
      <c r="D47" s="11"/>
      <c r="F47" s="10"/>
    </row>
    <row r="48" spans="1:7" ht="15.6" x14ac:dyDescent="0.3">
      <c r="A48" s="7" t="s">
        <v>128</v>
      </c>
      <c r="D48" s="10"/>
      <c r="F48" s="10"/>
    </row>
    <row r="49" spans="1:7" x14ac:dyDescent="0.3">
      <c r="D49" s="10"/>
      <c r="F49" s="10"/>
    </row>
    <row r="50" spans="1:7" x14ac:dyDescent="0.3">
      <c r="A50" t="s">
        <v>5</v>
      </c>
      <c r="C50">
        <v>84.9</v>
      </c>
      <c r="D50" s="11" t="s">
        <v>3</v>
      </c>
      <c r="E50">
        <v>12.9</v>
      </c>
      <c r="F50" s="11" t="s">
        <v>3</v>
      </c>
      <c r="G50" t="s">
        <v>31</v>
      </c>
    </row>
    <row r="51" spans="1:7" x14ac:dyDescent="0.3">
      <c r="A51" t="s">
        <v>97</v>
      </c>
      <c r="C51">
        <v>85.8</v>
      </c>
      <c r="D51" s="11" t="s">
        <v>3</v>
      </c>
      <c r="E51">
        <v>-3.1</v>
      </c>
      <c r="F51" s="11" t="s">
        <v>3</v>
      </c>
      <c r="G51" t="s">
        <v>31</v>
      </c>
    </row>
    <row r="52" spans="1:7" x14ac:dyDescent="0.3">
      <c r="A52" t="s">
        <v>98</v>
      </c>
      <c r="C52">
        <v>5.3</v>
      </c>
      <c r="D52" s="11" t="s">
        <v>2</v>
      </c>
      <c r="F52" s="11"/>
      <c r="G52" t="s">
        <v>14</v>
      </c>
    </row>
    <row r="53" spans="1:7" x14ac:dyDescent="0.3">
      <c r="A53" t="s">
        <v>99</v>
      </c>
      <c r="C53" s="3">
        <f>$D$20*(E53/360)</f>
        <v>127.3287502499944</v>
      </c>
      <c r="D53" s="11" t="s">
        <v>2</v>
      </c>
      <c r="E53">
        <f>90-C51</f>
        <v>4.2000000000000028</v>
      </c>
      <c r="F53" s="11" t="s">
        <v>3</v>
      </c>
    </row>
    <row r="54" spans="1:7" x14ac:dyDescent="0.3">
      <c r="A54" t="s">
        <v>118</v>
      </c>
      <c r="C54" s="3">
        <v>2.145</v>
      </c>
      <c r="D54" s="11" t="s">
        <v>2</v>
      </c>
      <c r="F54" s="11"/>
      <c r="G54" t="s">
        <v>117</v>
      </c>
    </row>
    <row r="55" spans="1:7" x14ac:dyDescent="0.3">
      <c r="A55" t="s">
        <v>119</v>
      </c>
      <c r="C55" s="3">
        <f>C52-C54</f>
        <v>3.1549999999999998</v>
      </c>
      <c r="D55" s="11" t="s">
        <v>2</v>
      </c>
      <c r="F55" s="11"/>
    </row>
    <row r="56" spans="1:7" x14ac:dyDescent="0.3">
      <c r="D56" s="11"/>
      <c r="F56" s="11"/>
    </row>
    <row r="57" spans="1:7" ht="15.6" x14ac:dyDescent="0.3">
      <c r="A57" s="7" t="s">
        <v>100</v>
      </c>
      <c r="D57" s="11"/>
      <c r="F57" s="11"/>
    </row>
    <row r="58" spans="1:7" ht="15.6" x14ac:dyDescent="0.3">
      <c r="A58" s="7"/>
      <c r="D58" s="11"/>
      <c r="F58" s="11"/>
    </row>
    <row r="59" spans="1:7" x14ac:dyDescent="0.3">
      <c r="A59" t="s">
        <v>101</v>
      </c>
      <c r="C59" s="3">
        <v>-88.1</v>
      </c>
      <c r="D59" s="11" t="s">
        <v>3</v>
      </c>
      <c r="E59" s="3">
        <v>44.9</v>
      </c>
      <c r="F59" s="11" t="s">
        <v>3</v>
      </c>
      <c r="G59" t="s">
        <v>31</v>
      </c>
    </row>
    <row r="60" spans="1:7" x14ac:dyDescent="0.3">
      <c r="A60" t="s">
        <v>102</v>
      </c>
      <c r="C60" s="3">
        <v>-84.7</v>
      </c>
      <c r="D60" s="11" t="s">
        <v>3</v>
      </c>
      <c r="E60" s="3">
        <v>34</v>
      </c>
      <c r="F60" s="11" t="s">
        <v>3</v>
      </c>
      <c r="G60" t="s">
        <v>31</v>
      </c>
    </row>
    <row r="61" spans="1:7" x14ac:dyDescent="0.3">
      <c r="A61" t="s">
        <v>103</v>
      </c>
      <c r="C61" s="3">
        <v>7.03</v>
      </c>
      <c r="D61" s="11" t="s">
        <v>2</v>
      </c>
      <c r="E61" s="3"/>
      <c r="F61" t="s">
        <v>125</v>
      </c>
      <c r="G61" s="10"/>
    </row>
    <row r="62" spans="1:7" x14ac:dyDescent="0.3">
      <c r="A62" t="s">
        <v>104</v>
      </c>
      <c r="C62" s="3">
        <f>$D$23*(90+C60)</f>
        <v>160.6767562678499</v>
      </c>
      <c r="D62" s="11" t="s">
        <v>2</v>
      </c>
      <c r="E62" s="3">
        <f>90+C60</f>
        <v>5.2999999999999972</v>
      </c>
      <c r="F62" s="11" t="s">
        <v>3</v>
      </c>
    </row>
    <row r="63" spans="1:7" x14ac:dyDescent="0.3">
      <c r="D63" s="11"/>
      <c r="G63" s="10"/>
    </row>
    <row r="64" spans="1:7" ht="15.6" x14ac:dyDescent="0.3">
      <c r="A64" s="7" t="s">
        <v>35</v>
      </c>
      <c r="D64" s="11"/>
      <c r="G64" s="10"/>
    </row>
    <row r="65" spans="1:8" x14ac:dyDescent="0.3">
      <c r="G65" s="10"/>
    </row>
    <row r="66" spans="1:8" x14ac:dyDescent="0.3">
      <c r="A66" t="s">
        <v>34</v>
      </c>
      <c r="C66">
        <v>-5.1749999999999998</v>
      </c>
      <c r="D66" s="11" t="s">
        <v>2</v>
      </c>
      <c r="F66" t="s">
        <v>120</v>
      </c>
      <c r="G66" s="10"/>
    </row>
    <row r="67" spans="1:8" x14ac:dyDescent="0.3">
      <c r="A67" t="s">
        <v>36</v>
      </c>
      <c r="C67">
        <v>2500</v>
      </c>
      <c r="D67" s="11" t="s">
        <v>2</v>
      </c>
      <c r="G67" s="10"/>
    </row>
    <row r="68" spans="1:8" x14ac:dyDescent="0.3">
      <c r="D68" s="11"/>
      <c r="G68" s="10"/>
    </row>
    <row r="69" spans="1:8" ht="15.6" x14ac:dyDescent="0.3">
      <c r="A69" s="25" t="s">
        <v>121</v>
      </c>
      <c r="C69">
        <f>C52-C66</f>
        <v>10.475</v>
      </c>
      <c r="D69" s="11" t="s">
        <v>2</v>
      </c>
      <c r="G69" s="10"/>
    </row>
    <row r="70" spans="1:8" x14ac:dyDescent="0.3">
      <c r="A70" t="s">
        <v>53</v>
      </c>
      <c r="C70" s="5">
        <f>DEGREES(ACOS(($D$19 +$C$66)/($D$19+$C$52)))</f>
        <v>6.2859512068136194</v>
      </c>
      <c r="D70" s="11" t="s">
        <v>3</v>
      </c>
      <c r="E70" s="5">
        <f>C70- 90</f>
        <v>-83.714048793186379</v>
      </c>
      <c r="F70" s="11" t="s">
        <v>3</v>
      </c>
      <c r="G70" s="30">
        <f>D23*C70</f>
        <v>190.56721697524327</v>
      </c>
      <c r="H70" s="11" t="s">
        <v>2</v>
      </c>
    </row>
    <row r="71" spans="1:8" x14ac:dyDescent="0.3">
      <c r="A71" t="s">
        <v>54</v>
      </c>
      <c r="C71" s="5">
        <f>DEGREES(ACOS(($D$19 )/($D$19+$C$52)))</f>
        <v>4.4701721679924402</v>
      </c>
      <c r="D71" s="11" t="s">
        <v>3</v>
      </c>
      <c r="G71" s="10"/>
      <c r="H71" t="s">
        <v>47</v>
      </c>
    </row>
    <row r="72" spans="1:8" x14ac:dyDescent="0.3">
      <c r="A72" t="s">
        <v>54</v>
      </c>
      <c r="C72" s="5">
        <f>DEGREES(ACOS(($D$19 +$C$66)/($D$19)))</f>
        <v>4.4238539491755402</v>
      </c>
      <c r="D72" s="11" t="s">
        <v>3</v>
      </c>
      <c r="G72" s="10"/>
    </row>
    <row r="74" spans="1:8" ht="15.6" x14ac:dyDescent="0.3">
      <c r="A74" s="7" t="s">
        <v>33</v>
      </c>
      <c r="F74" s="10"/>
    </row>
    <row r="75" spans="1:8" x14ac:dyDescent="0.3">
      <c r="D75" s="11"/>
      <c r="F75" s="11"/>
    </row>
    <row r="76" spans="1:8" x14ac:dyDescent="0.3">
      <c r="A76" t="s">
        <v>6</v>
      </c>
      <c r="C76" s="6">
        <f>(ASIN(D19/D17))*2</f>
        <v>9.0375152451693599E-3</v>
      </c>
      <c r="D76" s="11" t="s">
        <v>8</v>
      </c>
      <c r="E76" s="6">
        <f>DEGREES(C76)</f>
        <v>0.51781148083334383</v>
      </c>
      <c r="F76" s="11" t="s">
        <v>3</v>
      </c>
      <c r="G76" s="3">
        <f>E76/$C$45</f>
        <v>0.36146294682280428</v>
      </c>
      <c r="H76" s="12" t="s">
        <v>16</v>
      </c>
    </row>
    <row r="77" spans="1:8" x14ac:dyDescent="0.3">
      <c r="A77" t="s">
        <v>7</v>
      </c>
      <c r="C77" s="6">
        <f>(ASIN(D16/D17))*2</f>
        <v>3.3149366758707076E-2</v>
      </c>
      <c r="D77" s="11" t="s">
        <v>8</v>
      </c>
      <c r="E77" s="6">
        <f>DEGREES(C77)</f>
        <v>1.8993188088051811</v>
      </c>
      <c r="F77" s="11" t="s">
        <v>3</v>
      </c>
      <c r="G77" s="3">
        <f>E77/$C$45</f>
        <v>1.3258365235197596</v>
      </c>
      <c r="H77" s="12" t="s">
        <v>16</v>
      </c>
    </row>
    <row r="78" spans="1:8" x14ac:dyDescent="0.3">
      <c r="D78" s="11"/>
      <c r="F78" s="11"/>
      <c r="H78" s="10"/>
    </row>
    <row r="79" spans="1:8" x14ac:dyDescent="0.3">
      <c r="A79" t="s">
        <v>9</v>
      </c>
      <c r="C79" s="5">
        <f>C77/C76</f>
        <v>3.6679735369105724</v>
      </c>
      <c r="D79" s="12" t="s">
        <v>10</v>
      </c>
      <c r="F79" s="11"/>
      <c r="H79" s="10"/>
    </row>
    <row r="80" spans="1:8" x14ac:dyDescent="0.3">
      <c r="A80" t="s">
        <v>122</v>
      </c>
      <c r="C80" s="2">
        <f>((E77+2*F34)/360)*D21*24*60</f>
        <v>347.48763118347665</v>
      </c>
      <c r="D80" s="11" t="s">
        <v>123</v>
      </c>
      <c r="E80" s="5">
        <f>C80/60</f>
        <v>5.7914605197246107</v>
      </c>
      <c r="F80" s="17" t="s">
        <v>124</v>
      </c>
      <c r="G80" s="11"/>
      <c r="H80" t="s">
        <v>65</v>
      </c>
    </row>
    <row r="81" spans="1:9" x14ac:dyDescent="0.3">
      <c r="D81" s="31"/>
      <c r="E81" s="11"/>
      <c r="F81" s="5"/>
      <c r="G81" s="11"/>
    </row>
    <row r="82" spans="1:9" x14ac:dyDescent="0.3">
      <c r="A82" s="4" t="s">
        <v>129</v>
      </c>
      <c r="C82" s="5"/>
      <c r="D82" s="12"/>
      <c r="F82" s="11"/>
      <c r="H82" s="10"/>
    </row>
    <row r="83" spans="1:9" x14ac:dyDescent="0.3">
      <c r="C83" s="5"/>
      <c r="D83" s="12"/>
      <c r="F83" s="11"/>
      <c r="H83" s="10"/>
    </row>
    <row r="84" spans="1:9" x14ac:dyDescent="0.3">
      <c r="A84" t="s">
        <v>49</v>
      </c>
      <c r="C84" s="5">
        <f>$E$53+$C$71</f>
        <v>8.6701721679924439</v>
      </c>
      <c r="D84" s="11" t="s">
        <v>3</v>
      </c>
      <c r="E84" s="5">
        <f>C84/$E$77</f>
        <v>4.5648851197586229</v>
      </c>
      <c r="F84" s="12" t="s">
        <v>12</v>
      </c>
      <c r="G84" s="5">
        <f>C84/$C$46</f>
        <v>1.1315430536189663</v>
      </c>
      <c r="H84" s="12" t="s">
        <v>18</v>
      </c>
      <c r="I84" s="5"/>
    </row>
    <row r="85" spans="1:9" x14ac:dyDescent="0.3">
      <c r="A85" t="s">
        <v>59</v>
      </c>
      <c r="C85" s="5">
        <f>$E$53+$C$71+F26</f>
        <v>8.5201721679924454</v>
      </c>
      <c r="D85" s="11" t="s">
        <v>3</v>
      </c>
      <c r="E85" s="5">
        <f>C85/$E$77</f>
        <v>4.4859094368429355</v>
      </c>
      <c r="F85" s="12" t="s">
        <v>12</v>
      </c>
      <c r="G85" s="5">
        <f>C85/$C$46</f>
        <v>1.1119665729269868</v>
      </c>
      <c r="H85" s="12" t="s">
        <v>18</v>
      </c>
      <c r="I85" s="5"/>
    </row>
    <row r="86" spans="1:9" x14ac:dyDescent="0.3">
      <c r="A86" t="s">
        <v>60</v>
      </c>
      <c r="C86" s="5">
        <f>$E$53+$C$71+F27</f>
        <v>8.8301721679924441</v>
      </c>
      <c r="D86" s="11" t="s">
        <v>11</v>
      </c>
      <c r="E86" s="5">
        <f>C86/$E$77</f>
        <v>4.649125848202023</v>
      </c>
      <c r="F86" s="12" t="s">
        <v>12</v>
      </c>
      <c r="G86" s="5">
        <f>C86/$C$46</f>
        <v>1.1524246330237449</v>
      </c>
      <c r="H86" s="12" t="s">
        <v>18</v>
      </c>
    </row>
    <row r="87" spans="1:9" x14ac:dyDescent="0.3">
      <c r="C87" s="6"/>
      <c r="D87" s="11"/>
      <c r="E87" s="5"/>
      <c r="F87" s="12"/>
      <c r="G87" s="5"/>
      <c r="H87" s="12"/>
    </row>
    <row r="88" spans="1:9" ht="15.6" x14ac:dyDescent="0.3">
      <c r="A88" s="7" t="s">
        <v>55</v>
      </c>
      <c r="C88" s="6"/>
      <c r="D88" s="11"/>
      <c r="E88" s="5"/>
      <c r="F88" s="12"/>
      <c r="G88" s="5"/>
      <c r="H88" s="12"/>
    </row>
    <row r="89" spans="1:9" ht="15.6" x14ac:dyDescent="0.3">
      <c r="A89" s="7"/>
      <c r="C89" s="6"/>
      <c r="D89" s="11"/>
      <c r="E89" s="5"/>
      <c r="F89" s="12"/>
      <c r="G89" s="5"/>
      <c r="H89" s="12"/>
    </row>
    <row r="90" spans="1:9" x14ac:dyDescent="0.3">
      <c r="A90" s="4" t="s">
        <v>50</v>
      </c>
      <c r="C90" s="6"/>
      <c r="D90" s="11"/>
      <c r="E90" s="5"/>
      <c r="F90" s="12"/>
      <c r="G90" s="5"/>
      <c r="H90" s="12"/>
    </row>
    <row r="91" spans="1:9" x14ac:dyDescent="0.3">
      <c r="A91" t="s">
        <v>52</v>
      </c>
      <c r="C91" s="5">
        <f>$E$53+$C$71+$D$25</f>
        <v>13.810172167992445</v>
      </c>
      <c r="D91" s="11" t="s">
        <v>3</v>
      </c>
      <c r="E91" s="5">
        <f>C91/$E$77</f>
        <v>7.2711185210028608</v>
      </c>
      <c r="F91" s="12" t="s">
        <v>12</v>
      </c>
      <c r="G91" s="5">
        <f>C91/$C$46</f>
        <v>1.8023637919974751</v>
      </c>
      <c r="H91" s="12" t="s">
        <v>18</v>
      </c>
    </row>
    <row r="92" spans="1:9" x14ac:dyDescent="0.3">
      <c r="A92" t="s">
        <v>38</v>
      </c>
      <c r="C92" s="5">
        <f>$E$53+$C$71-$D$25+F26</f>
        <v>3.3801721679924448</v>
      </c>
      <c r="D92" s="11" t="s">
        <v>3</v>
      </c>
      <c r="E92" s="5">
        <f>C92/$E$77</f>
        <v>1.7796760355986974</v>
      </c>
      <c r="F92" s="12" t="s">
        <v>12</v>
      </c>
      <c r="G92" s="5">
        <f>C92/$C$46</f>
        <v>0.44114583454847789</v>
      </c>
      <c r="H92" s="12" t="s">
        <v>18</v>
      </c>
    </row>
    <row r="93" spans="1:9" x14ac:dyDescent="0.3">
      <c r="A93" t="s">
        <v>58</v>
      </c>
      <c r="C93" s="5">
        <f>$E$53+$C$71+$D$25+F27</f>
        <v>13.970172167992445</v>
      </c>
      <c r="D93" s="11" t="s">
        <v>11</v>
      </c>
      <c r="E93" s="5">
        <f>C93/$E$77</f>
        <v>7.3553592494462618</v>
      </c>
      <c r="F93" s="12" t="s">
        <v>12</v>
      </c>
      <c r="G93" s="5">
        <f>C93/$C$46</f>
        <v>1.8232453714022536</v>
      </c>
      <c r="H93" s="12" t="s">
        <v>18</v>
      </c>
    </row>
    <row r="94" spans="1:9" x14ac:dyDescent="0.3">
      <c r="C94" s="5"/>
      <c r="D94" s="11"/>
      <c r="F94" s="10"/>
    </row>
    <row r="95" spans="1:9" x14ac:dyDescent="0.3">
      <c r="A95" s="4" t="s">
        <v>51</v>
      </c>
      <c r="C95" s="5"/>
      <c r="D95" s="11"/>
      <c r="F95" s="10"/>
    </row>
    <row r="96" spans="1:9" x14ac:dyDescent="0.3">
      <c r="A96" t="s">
        <v>56</v>
      </c>
      <c r="C96" s="5">
        <f>-$E$53+$C$70-D$25</f>
        <v>-3.0540487931863831</v>
      </c>
      <c r="D96" s="11" t="s">
        <v>11</v>
      </c>
      <c r="E96" s="5">
        <f>C96/$E$77</f>
        <v>-1.6079705939981801</v>
      </c>
      <c r="F96" s="12" t="s">
        <v>12</v>
      </c>
      <c r="G96" s="5">
        <f>C96/$C$46</f>
        <v>-0.39858351488118349</v>
      </c>
      <c r="H96" s="12" t="s">
        <v>18</v>
      </c>
    </row>
    <row r="97" spans="1:12" x14ac:dyDescent="0.3">
      <c r="A97" t="s">
        <v>39</v>
      </c>
      <c r="C97" s="5">
        <f>-$E$53+$C$70-D$25 +F26</f>
        <v>-3.2040487931863826</v>
      </c>
      <c r="D97" s="11" t="s">
        <v>3</v>
      </c>
      <c r="E97" s="5">
        <f>C97/$E$77</f>
        <v>-1.6869462769138679</v>
      </c>
      <c r="F97" s="12" t="s">
        <v>12</v>
      </c>
      <c r="G97" s="5">
        <f>C97/$C$46</f>
        <v>-0.41815999557316325</v>
      </c>
      <c r="H97" s="12" t="s">
        <v>18</v>
      </c>
    </row>
    <row r="98" spans="1:12" x14ac:dyDescent="0.3">
      <c r="A98" t="s">
        <v>57</v>
      </c>
      <c r="C98" s="5">
        <f>$C$96+F27</f>
        <v>-2.894048793186383</v>
      </c>
      <c r="D98" s="11" t="s">
        <v>3</v>
      </c>
      <c r="E98" s="5">
        <f>C98/$E$77</f>
        <v>-1.5237298655547797</v>
      </c>
      <c r="F98" s="12" t="s">
        <v>12</v>
      </c>
      <c r="G98" s="5">
        <f>C98/$C$46</f>
        <v>-0.37770193547640496</v>
      </c>
      <c r="H98" s="12" t="s">
        <v>18</v>
      </c>
    </row>
    <row r="99" spans="1:12" x14ac:dyDescent="0.3">
      <c r="C99" s="5"/>
      <c r="D99" s="11"/>
      <c r="E99" s="5"/>
      <c r="F99" s="12"/>
      <c r="G99" s="5"/>
      <c r="H99" s="12"/>
    </row>
    <row r="100" spans="1:12" x14ac:dyDescent="0.3">
      <c r="A100" s="4" t="s">
        <v>108</v>
      </c>
      <c r="C100" s="5"/>
      <c r="D100" s="11"/>
      <c r="E100" s="5"/>
      <c r="F100" s="12"/>
      <c r="G100" s="5"/>
      <c r="H100" s="12"/>
    </row>
    <row r="101" spans="1:12" x14ac:dyDescent="0.3">
      <c r="C101" s="5"/>
      <c r="D101" s="11"/>
      <c r="E101" s="17" t="s">
        <v>65</v>
      </c>
      <c r="F101" s="11"/>
      <c r="G101" s="17" t="s">
        <v>66</v>
      </c>
      <c r="H101" s="12"/>
    </row>
    <row r="102" spans="1:12" x14ac:dyDescent="0.3">
      <c r="A102" t="s">
        <v>61</v>
      </c>
      <c r="C102" s="5">
        <f>C91</f>
        <v>13.810172167992445</v>
      </c>
      <c r="D102" s="11" t="s">
        <v>11</v>
      </c>
      <c r="E102" s="6">
        <f>($C$102+$E$76/2) * PI()/180</f>
        <v>0.24555173222133631</v>
      </c>
      <c r="F102" s="10" t="s">
        <v>8</v>
      </c>
      <c r="G102" s="6">
        <f>($C$102-$E$76/2) * PI()/180</f>
        <v>0.23651421697616692</v>
      </c>
      <c r="H102" s="10" t="s">
        <v>8</v>
      </c>
    </row>
    <row r="103" spans="1:12" x14ac:dyDescent="0.3">
      <c r="A103" t="s">
        <v>62</v>
      </c>
      <c r="C103" s="5">
        <f>C84</f>
        <v>8.6701721679924439</v>
      </c>
      <c r="D103" s="11" t="s">
        <v>3</v>
      </c>
      <c r="E103" s="6">
        <f>($C$102+$E$77/2) * PI()/180</f>
        <v>0.25760765797810514</v>
      </c>
      <c r="F103" s="10" t="s">
        <v>8</v>
      </c>
      <c r="G103" s="6">
        <f>($C$102-$E$77/2) * PI()/180</f>
        <v>0.22445829121939809</v>
      </c>
      <c r="H103" s="10" t="s">
        <v>8</v>
      </c>
    </row>
    <row r="104" spans="1:12" x14ac:dyDescent="0.3">
      <c r="C104" s="5"/>
      <c r="D104" s="11"/>
      <c r="E104" s="5"/>
      <c r="F104" s="11" t="s">
        <v>109</v>
      </c>
      <c r="G104" s="20"/>
      <c r="I104" s="11" t="s">
        <v>110</v>
      </c>
      <c r="J104" s="4"/>
    </row>
    <row r="105" spans="1:12" x14ac:dyDescent="0.3">
      <c r="A105" t="s">
        <v>63</v>
      </c>
      <c r="C105" s="5">
        <v>1</v>
      </c>
      <c r="D105" s="11" t="s">
        <v>64</v>
      </c>
      <c r="E105" s="5"/>
      <c r="F105" s="19">
        <f>$C$105/TAN(E102)</f>
        <v>3.9902801050156107</v>
      </c>
      <c r="G105" s="19">
        <f>$C$105/TAN(G102)</f>
        <v>4.1489419873805602</v>
      </c>
      <c r="H105" s="6">
        <f>G105-F105</f>
        <v>0.15866188236494949</v>
      </c>
      <c r="I105" s="19">
        <f>$C$105/TAN(E103)</f>
        <v>3.7956206451053229</v>
      </c>
      <c r="J105" s="19">
        <f>$C$105/TAN(G103)</f>
        <v>4.3800987458040108</v>
      </c>
      <c r="K105" s="6">
        <f>J105-I105</f>
        <v>0.58447810069868789</v>
      </c>
      <c r="L105" s="11" t="s">
        <v>64</v>
      </c>
    </row>
    <row r="106" spans="1:12" x14ac:dyDescent="0.3">
      <c r="C106" s="5"/>
      <c r="D106" s="11"/>
      <c r="E106" s="5"/>
      <c r="F106" s="12"/>
      <c r="G106" s="5"/>
      <c r="H106" s="12"/>
    </row>
    <row r="107" spans="1:12" x14ac:dyDescent="0.3">
      <c r="A107" s="4" t="s">
        <v>111</v>
      </c>
      <c r="C107" s="5"/>
      <c r="D107" s="11"/>
      <c r="E107" s="5"/>
      <c r="F107" s="12"/>
      <c r="G107" s="5"/>
      <c r="H107" s="12"/>
    </row>
    <row r="108" spans="1:12" x14ac:dyDescent="0.3">
      <c r="C108" s="5"/>
      <c r="D108" s="11"/>
      <c r="E108" s="5"/>
      <c r="F108" s="12"/>
      <c r="G108" s="5"/>
      <c r="H108" s="12"/>
    </row>
    <row r="109" spans="1:12" x14ac:dyDescent="0.3">
      <c r="A109" t="s">
        <v>76</v>
      </c>
      <c r="C109" s="5">
        <f>D17/$D$36</f>
        <v>1.2822170463007445</v>
      </c>
      <c r="D109" s="11" t="s">
        <v>79</v>
      </c>
      <c r="E109" s="5"/>
      <c r="F109" s="12"/>
      <c r="G109" s="5"/>
      <c r="H109" s="12"/>
    </row>
    <row r="110" spans="1:12" x14ac:dyDescent="0.3">
      <c r="A110" t="s">
        <v>77</v>
      </c>
      <c r="C110" s="5">
        <f>D37/$D$36</f>
        <v>0.1193692471076107</v>
      </c>
      <c r="D110" s="11" t="s">
        <v>79</v>
      </c>
      <c r="E110" s="5"/>
      <c r="F110" s="12"/>
      <c r="G110" s="5"/>
      <c r="H110" s="12"/>
    </row>
    <row r="111" spans="1:12" x14ac:dyDescent="0.3">
      <c r="A111" t="s">
        <v>112</v>
      </c>
      <c r="C111" s="6">
        <v>4.0000000000000001E-3</v>
      </c>
      <c r="D111" s="11" t="s">
        <v>79</v>
      </c>
      <c r="E111" s="5">
        <v>9</v>
      </c>
      <c r="F111" s="12" t="s">
        <v>80</v>
      </c>
      <c r="G111" s="5"/>
      <c r="H111" s="12"/>
    </row>
    <row r="112" spans="1:12" x14ac:dyDescent="0.3">
      <c r="A112" t="s">
        <v>78</v>
      </c>
      <c r="C112" s="5">
        <f>C109+C110+E111*C111</f>
        <v>1.4375862934083552</v>
      </c>
      <c r="D112" s="11" t="s">
        <v>79</v>
      </c>
      <c r="E112" s="5"/>
      <c r="F112" s="12"/>
      <c r="G112" s="5"/>
      <c r="H112" s="12"/>
    </row>
    <row r="113" spans="1:12" x14ac:dyDescent="0.3">
      <c r="A113" t="s">
        <v>113</v>
      </c>
      <c r="C113" s="5">
        <f>C112*2</f>
        <v>2.8751725868167104</v>
      </c>
      <c r="D113" s="11" t="s">
        <v>79</v>
      </c>
      <c r="E113" s="5"/>
      <c r="F113" s="12"/>
      <c r="G113" s="5"/>
      <c r="H113" s="12"/>
    </row>
    <row r="114" spans="1:12" x14ac:dyDescent="0.3">
      <c r="C114" s="5"/>
      <c r="D114" s="11"/>
      <c r="E114" s="5"/>
      <c r="F114" s="12"/>
      <c r="G114" s="5"/>
      <c r="H114" s="12"/>
    </row>
    <row r="115" spans="1:12" x14ac:dyDescent="0.3">
      <c r="A115" s="4" t="s">
        <v>114</v>
      </c>
      <c r="C115" s="5"/>
      <c r="D115" s="11"/>
      <c r="E115" s="5"/>
      <c r="F115" s="12"/>
      <c r="G115" s="5"/>
      <c r="H115" s="12"/>
    </row>
    <row r="116" spans="1:12" x14ac:dyDescent="0.3">
      <c r="C116" s="5"/>
      <c r="D116" s="11"/>
      <c r="E116" s="5"/>
      <c r="F116" s="12"/>
      <c r="G116" s="5"/>
      <c r="H116" s="12"/>
    </row>
    <row r="117" spans="1:12" x14ac:dyDescent="0.3">
      <c r="A117" t="s">
        <v>115</v>
      </c>
      <c r="C117" s="5"/>
      <c r="D117" s="28">
        <f>D20/360</f>
        <v>30.316369107141504</v>
      </c>
      <c r="E117" s="17" t="s">
        <v>89</v>
      </c>
      <c r="F117" s="12"/>
      <c r="G117" s="5"/>
      <c r="H117" s="12"/>
    </row>
    <row r="118" spans="1:12" x14ac:dyDescent="0.3">
      <c r="C118" s="5"/>
      <c r="D118" s="28"/>
      <c r="E118" s="17"/>
      <c r="F118" s="11" t="s">
        <v>94</v>
      </c>
      <c r="G118" s="5"/>
      <c r="H118" s="12"/>
      <c r="L118" s="4" t="s">
        <v>95</v>
      </c>
    </row>
    <row r="119" spans="1:12" ht="15.6" x14ac:dyDescent="0.3">
      <c r="A119" s="7"/>
      <c r="C119" s="11" t="s">
        <v>90</v>
      </c>
      <c r="D119" s="11" t="s">
        <v>90</v>
      </c>
      <c r="E119" s="11" t="s">
        <v>91</v>
      </c>
      <c r="F119" s="11" t="s">
        <v>2</v>
      </c>
      <c r="G119" s="11"/>
      <c r="H119" s="11" t="s">
        <v>92</v>
      </c>
      <c r="I119" s="11" t="s">
        <v>92</v>
      </c>
      <c r="J119" s="11" t="s">
        <v>83</v>
      </c>
      <c r="K119" s="11" t="s">
        <v>91</v>
      </c>
      <c r="L119" s="11" t="s">
        <v>2</v>
      </c>
    </row>
    <row r="120" spans="1:12" ht="15.6" x14ac:dyDescent="0.3">
      <c r="A120" s="25" t="s">
        <v>93</v>
      </c>
      <c r="C120" s="27">
        <v>-3.5</v>
      </c>
      <c r="D120" s="27">
        <v>-2</v>
      </c>
      <c r="E120" s="27">
        <f>C120-D120</f>
        <v>-1.5</v>
      </c>
      <c r="F120" s="29">
        <f>ABS(E120*$D$117*COS(RADIANS(J120)))</f>
        <v>3.2117306616212038</v>
      </c>
      <c r="G120" s="5"/>
      <c r="H120" s="27">
        <v>-85.9</v>
      </c>
      <c r="I120" s="27">
        <v>-86</v>
      </c>
      <c r="J120">
        <f>(H120+I120)/2</f>
        <v>-85.95</v>
      </c>
      <c r="K120" s="5">
        <f t="shared" ref="K120:K128" si="1">H120-I120</f>
        <v>9.9999999999994316E-2</v>
      </c>
      <c r="L120" s="29">
        <f>ABS(K120*$D$117)</f>
        <v>3.0316369107139782</v>
      </c>
    </row>
    <row r="121" spans="1:12" ht="15.6" x14ac:dyDescent="0.3">
      <c r="A121" s="25" t="s">
        <v>96</v>
      </c>
      <c r="C121" s="27">
        <v>-9</v>
      </c>
      <c r="D121" s="27">
        <v>2.8</v>
      </c>
      <c r="E121" s="27">
        <f t="shared" ref="E121:E128" si="2">C121-D121</f>
        <v>-11.8</v>
      </c>
      <c r="F121" s="29">
        <f t="shared" ref="F121:F128" si="3">ABS(E121*$D$117*COS(RADIANS(J121)))</f>
        <v>26.19973135898196</v>
      </c>
      <c r="G121" s="5"/>
      <c r="H121" s="27">
        <v>-85.6</v>
      </c>
      <c r="I121" s="27">
        <v>-86</v>
      </c>
      <c r="J121">
        <f t="shared" ref="J121:J128" si="4">(H121+I121)/2</f>
        <v>-85.8</v>
      </c>
      <c r="K121" s="5">
        <f t="shared" si="1"/>
        <v>0.40000000000000568</v>
      </c>
      <c r="L121" s="29">
        <f t="shared" ref="L121:L128" si="5">ABS(K121*$D$117)</f>
        <v>12.126547642856774</v>
      </c>
    </row>
    <row r="122" spans="1:12" ht="15.6" x14ac:dyDescent="0.3">
      <c r="A122" s="7" t="s">
        <v>84</v>
      </c>
      <c r="C122" s="27">
        <v>-18</v>
      </c>
      <c r="D122" s="27">
        <v>23</v>
      </c>
      <c r="E122" s="27">
        <f t="shared" si="2"/>
        <v>-41</v>
      </c>
      <c r="F122" s="29">
        <f t="shared" si="3"/>
        <v>70.467498412848769</v>
      </c>
      <c r="G122" s="5"/>
      <c r="H122" s="27">
        <v>-85.5</v>
      </c>
      <c r="I122" s="27">
        <v>-88</v>
      </c>
      <c r="J122">
        <f t="shared" si="4"/>
        <v>-86.75</v>
      </c>
      <c r="K122" s="5">
        <f t="shared" si="1"/>
        <v>2.5</v>
      </c>
      <c r="L122" s="29">
        <f t="shared" si="5"/>
        <v>75.790922767853758</v>
      </c>
    </row>
    <row r="123" spans="1:12" ht="15.6" x14ac:dyDescent="0.3">
      <c r="A123" s="7" t="s">
        <v>85</v>
      </c>
      <c r="C123" s="27">
        <v>25</v>
      </c>
      <c r="D123" s="27">
        <v>43</v>
      </c>
      <c r="E123" s="27">
        <f t="shared" si="2"/>
        <v>-18</v>
      </c>
      <c r="F123" s="29">
        <f t="shared" si="3"/>
        <v>50.406134826122184</v>
      </c>
      <c r="G123" s="5"/>
      <c r="H123" s="27">
        <v>-84.4</v>
      </c>
      <c r="I123" s="27">
        <v>-85</v>
      </c>
      <c r="J123">
        <f t="shared" si="4"/>
        <v>-84.7</v>
      </c>
      <c r="K123" s="5">
        <f t="shared" si="1"/>
        <v>0.59999999999999432</v>
      </c>
      <c r="L123" s="29">
        <f t="shared" si="5"/>
        <v>18.18982146428473</v>
      </c>
    </row>
    <row r="124" spans="1:12" ht="15.6" x14ac:dyDescent="0.3">
      <c r="A124" s="7" t="s">
        <v>126</v>
      </c>
      <c r="C124" s="27">
        <v>36</v>
      </c>
      <c r="D124" s="27">
        <v>38</v>
      </c>
      <c r="E124" s="27">
        <f t="shared" si="2"/>
        <v>-2</v>
      </c>
      <c r="F124" s="29">
        <f t="shared" si="3"/>
        <v>5.2844913338901511</v>
      </c>
      <c r="G124" s="5"/>
      <c r="H124" s="27">
        <v>-84.8</v>
      </c>
      <c r="I124" s="27">
        <v>-85.2</v>
      </c>
      <c r="J124">
        <f t="shared" si="4"/>
        <v>-85</v>
      </c>
      <c r="K124" s="5">
        <f t="shared" si="1"/>
        <v>0.40000000000000568</v>
      </c>
      <c r="L124" s="29">
        <f t="shared" si="5"/>
        <v>12.126547642856774</v>
      </c>
    </row>
    <row r="125" spans="1:12" ht="15.6" x14ac:dyDescent="0.3">
      <c r="A125" s="7" t="s">
        <v>86</v>
      </c>
      <c r="C125" s="27">
        <v>16</v>
      </c>
      <c r="D125" s="27">
        <v>65</v>
      </c>
      <c r="E125" s="27">
        <f t="shared" si="2"/>
        <v>-49</v>
      </c>
      <c r="F125" s="29">
        <f t="shared" si="3"/>
        <v>126.88701752160971</v>
      </c>
      <c r="G125" s="5"/>
      <c r="H125" s="27">
        <v>-84.4</v>
      </c>
      <c r="I125" s="27">
        <v>-85.8</v>
      </c>
      <c r="J125">
        <f t="shared" si="4"/>
        <v>-85.1</v>
      </c>
      <c r="K125" s="5">
        <f t="shared" si="1"/>
        <v>1.3999999999999915</v>
      </c>
      <c r="L125" s="29">
        <f t="shared" si="5"/>
        <v>42.442916749997849</v>
      </c>
    </row>
    <row r="126" spans="1:12" ht="15.6" x14ac:dyDescent="0.3">
      <c r="A126" s="7" t="s">
        <v>87</v>
      </c>
      <c r="C126" s="27">
        <v>-56.5</v>
      </c>
      <c r="D126" s="27">
        <v>-49</v>
      </c>
      <c r="E126" s="27">
        <f t="shared" si="2"/>
        <v>-7.5</v>
      </c>
      <c r="F126" s="29">
        <f t="shared" si="3"/>
        <v>221.31993660541985</v>
      </c>
      <c r="G126" s="5"/>
      <c r="H126" s="27">
        <v>9.5</v>
      </c>
      <c r="I126" s="27">
        <v>17</v>
      </c>
      <c r="J126">
        <f t="shared" si="4"/>
        <v>13.25</v>
      </c>
      <c r="K126" s="5">
        <f t="shared" si="1"/>
        <v>-7.5</v>
      </c>
      <c r="L126" s="29">
        <f t="shared" si="5"/>
        <v>227.37276830356129</v>
      </c>
    </row>
    <row r="127" spans="1:12" ht="15.6" x14ac:dyDescent="0.3">
      <c r="A127" s="7" t="s">
        <v>88</v>
      </c>
      <c r="C127" s="27">
        <v>-56.6</v>
      </c>
      <c r="D127" s="27">
        <v>-56</v>
      </c>
      <c r="E127" s="27">
        <f t="shared" si="2"/>
        <v>-0.60000000000000142</v>
      </c>
      <c r="F127" s="29">
        <f t="shared" si="3"/>
        <v>17.645659133845946</v>
      </c>
      <c r="G127" s="5"/>
      <c r="H127" s="27">
        <v>13.8</v>
      </c>
      <c r="I127" s="27">
        <v>14.3</v>
      </c>
      <c r="J127">
        <f t="shared" si="4"/>
        <v>14.05</v>
      </c>
      <c r="K127" s="5">
        <f t="shared" si="1"/>
        <v>-0.5</v>
      </c>
      <c r="L127" s="29">
        <f t="shared" si="5"/>
        <v>15.158184553570752</v>
      </c>
    </row>
    <row r="128" spans="1:12" ht="15.6" x14ac:dyDescent="0.3">
      <c r="A128" s="7" t="s">
        <v>116</v>
      </c>
      <c r="C128" s="25">
        <v>179.5</v>
      </c>
      <c r="D128" s="27">
        <v>180.5</v>
      </c>
      <c r="E128" s="25">
        <f t="shared" si="2"/>
        <v>-1</v>
      </c>
      <c r="F128" s="29">
        <f t="shared" si="3"/>
        <v>21.43691017661412</v>
      </c>
      <c r="G128" s="25"/>
      <c r="H128" s="27">
        <v>44.5</v>
      </c>
      <c r="I128" s="27">
        <v>45.5</v>
      </c>
      <c r="J128" s="25">
        <f t="shared" si="4"/>
        <v>45</v>
      </c>
      <c r="K128" s="5">
        <f t="shared" si="1"/>
        <v>-1</v>
      </c>
      <c r="L128" s="29">
        <f t="shared" si="5"/>
        <v>30.316369107141504</v>
      </c>
    </row>
    <row r="129" spans="1:7" ht="15.6" x14ac:dyDescent="0.3">
      <c r="A129" s="7"/>
      <c r="B129" s="25"/>
      <c r="D129" s="25"/>
      <c r="F129" s="25"/>
      <c r="G129" s="25"/>
    </row>
    <row r="130" spans="1:7" ht="15.6" x14ac:dyDescent="0.3">
      <c r="A130" s="26"/>
    </row>
    <row r="131" spans="1:7" x14ac:dyDescent="0.3">
      <c r="F131" s="10"/>
    </row>
    <row r="132" spans="1:7" x14ac:dyDescent="0.3">
      <c r="F132" s="10"/>
    </row>
    <row r="133" spans="1:7" x14ac:dyDescent="0.3">
      <c r="F133" s="10"/>
    </row>
    <row r="134" spans="1:7" ht="15.6" x14ac:dyDescent="0.3">
      <c r="A134" s="7" t="s">
        <v>82</v>
      </c>
    </row>
    <row r="142" spans="1:7" x14ac:dyDescent="0.3">
      <c r="A142" t="s">
        <v>40</v>
      </c>
    </row>
    <row r="143" spans="1:7" x14ac:dyDescent="0.3">
      <c r="B143" t="s">
        <v>48</v>
      </c>
    </row>
    <row r="144" spans="1:7" x14ac:dyDescent="0.3">
      <c r="B144" s="15" t="s">
        <v>41</v>
      </c>
    </row>
  </sheetData>
  <hyperlinks>
    <hyperlink ref="B144" r:id="rId1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>NASA - Code 540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jtriley</dc:creator>
  <cp:lastModifiedBy>John Riley</cp:lastModifiedBy>
  <cp:lastPrinted>2014-01-16T18:40:17Z</cp:lastPrinted>
  <dcterms:created xsi:type="dcterms:W3CDTF">2013-10-29T11:38:38Z</dcterms:created>
  <dcterms:modified xsi:type="dcterms:W3CDTF">2014-01-18T12:01:50Z</dcterms:modified>
</cp:coreProperties>
</file>