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HardSFSquared_Vol02\Lunar Settlement\"/>
    </mc:Choice>
  </mc:AlternateContent>
  <bookViews>
    <workbookView xWindow="120" yWindow="36" windowWidth="15180" windowHeight="11388"/>
  </bookViews>
  <sheets>
    <sheet name="Data" sheetId="1" r:id="rId1"/>
    <sheet name="Graphs" sheetId="2" r:id="rId2"/>
  </sheets>
  <calcPr calcId="152511"/>
</workbook>
</file>

<file path=xl/calcChain.xml><?xml version="1.0" encoding="utf-8"?>
<calcChain xmlns="http://schemas.openxmlformats.org/spreadsheetml/2006/main">
  <c r="F232" i="1" l="1"/>
  <c r="H178" i="1"/>
  <c r="A157" i="1"/>
  <c r="G157" i="1"/>
  <c r="G156" i="1"/>
  <c r="E157" i="1"/>
  <c r="E156" i="1"/>
  <c r="I138" i="1"/>
  <c r="K138" i="1"/>
  <c r="G138" i="1"/>
  <c r="C157" i="1"/>
  <c r="B157" i="1"/>
  <c r="C156" i="1"/>
  <c r="B156" i="1"/>
  <c r="A156" i="1"/>
  <c r="I113" i="1"/>
  <c r="I112" i="1"/>
  <c r="I111" i="1"/>
  <c r="I110" i="1"/>
  <c r="I109" i="1"/>
  <c r="I106" i="1"/>
  <c r="I105" i="1"/>
  <c r="I104" i="1"/>
  <c r="I103" i="1"/>
  <c r="I102" i="1"/>
  <c r="C132" i="1"/>
  <c r="A138" i="1"/>
  <c r="B138" i="1" s="1"/>
  <c r="B132" i="1"/>
  <c r="G25" i="1"/>
  <c r="H251" i="1" l="1"/>
  <c r="J251" i="1" s="1"/>
  <c r="E184" i="1"/>
  <c r="G198" i="1"/>
  <c r="G201" i="1"/>
  <c r="F200" i="1"/>
  <c r="G200" i="1" s="1"/>
  <c r="F199" i="1"/>
  <c r="G199" i="1" s="1"/>
  <c r="E238" i="1"/>
  <c r="F235" i="1"/>
  <c r="F234" i="1"/>
  <c r="F233" i="1"/>
  <c r="E34" i="1"/>
  <c r="F97" i="1"/>
  <c r="G97" i="1" s="1"/>
  <c r="F90" i="1"/>
  <c r="G90" i="1" s="1"/>
  <c r="K90" i="1" s="1"/>
  <c r="F89" i="1"/>
  <c r="G89" i="1" s="1"/>
  <c r="F88" i="1"/>
  <c r="G88" i="1" s="1"/>
  <c r="F87" i="1"/>
  <c r="G87" i="1" s="1"/>
  <c r="K87" i="1" s="1"/>
  <c r="F86" i="1"/>
  <c r="G86" i="1" s="1"/>
  <c r="F85" i="1"/>
  <c r="G85" i="1" s="1"/>
  <c r="F84" i="1"/>
  <c r="G84" i="1" s="1"/>
  <c r="F83" i="1"/>
  <c r="G83" i="1" s="1"/>
  <c r="K83" i="1" s="1"/>
  <c r="F82" i="1"/>
  <c r="G82" i="1" s="1"/>
  <c r="K82" i="1" s="1"/>
  <c r="F81" i="1"/>
  <c r="G81" i="1" s="1"/>
  <c r="F80" i="1"/>
  <c r="G80" i="1" s="1"/>
  <c r="F79" i="1"/>
  <c r="G79" i="1" s="1"/>
  <c r="K79" i="1" s="1"/>
  <c r="F78" i="1"/>
  <c r="G78" i="1" s="1"/>
  <c r="F77" i="1"/>
  <c r="G77" i="1" s="1"/>
  <c r="F76" i="1"/>
  <c r="G76" i="1" s="1"/>
  <c r="F75" i="1"/>
  <c r="G75" i="1" s="1"/>
  <c r="K75" i="1" s="1"/>
  <c r="F74" i="1"/>
  <c r="G74" i="1" s="1"/>
  <c r="K74" i="1" s="1"/>
  <c r="F73" i="1"/>
  <c r="G73" i="1" s="1"/>
  <c r="F72" i="1"/>
  <c r="G72" i="1" s="1"/>
  <c r="F71" i="1"/>
  <c r="G71" i="1" s="1"/>
  <c r="K71" i="1" s="1"/>
  <c r="F70" i="1"/>
  <c r="G70" i="1" s="1"/>
  <c r="F69" i="1"/>
  <c r="G69" i="1" s="1"/>
  <c r="F68" i="1"/>
  <c r="G68" i="1" s="1"/>
  <c r="F67" i="1"/>
  <c r="G67" i="1" s="1"/>
  <c r="K67" i="1" s="1"/>
  <c r="F66" i="1"/>
  <c r="G66" i="1" s="1"/>
  <c r="K66" i="1" s="1"/>
  <c r="F65" i="1"/>
  <c r="G65" i="1" s="1"/>
  <c r="F64" i="1"/>
  <c r="G64" i="1" s="1"/>
  <c r="F63" i="1"/>
  <c r="G63" i="1" s="1"/>
  <c r="K63" i="1" s="1"/>
  <c r="F62" i="1"/>
  <c r="G62" i="1" s="1"/>
  <c r="F61" i="1"/>
  <c r="G61" i="1" s="1"/>
  <c r="F60" i="1"/>
  <c r="G60" i="1" s="1"/>
  <c r="F59" i="1"/>
  <c r="G59" i="1" s="1"/>
  <c r="K59" i="1" s="1"/>
  <c r="F58" i="1"/>
  <c r="G58" i="1" s="1"/>
  <c r="K58" i="1" s="1"/>
  <c r="F57" i="1"/>
  <c r="G57" i="1" s="1"/>
  <c r="F56" i="1"/>
  <c r="G56" i="1" s="1"/>
  <c r="F55" i="1"/>
  <c r="G55" i="1" s="1"/>
  <c r="K55" i="1" s="1"/>
  <c r="F54" i="1"/>
  <c r="G54" i="1" s="1"/>
  <c r="F53" i="1"/>
  <c r="G53" i="1" s="1"/>
  <c r="F52" i="1"/>
  <c r="G52" i="1" s="1"/>
  <c r="F51" i="1"/>
  <c r="G51" i="1" s="1"/>
  <c r="K51" i="1" s="1"/>
  <c r="F50" i="1"/>
  <c r="G50" i="1" s="1"/>
  <c r="K50" i="1" s="1"/>
  <c r="F49" i="1"/>
  <c r="G49" i="1" s="1"/>
  <c r="F48" i="1"/>
  <c r="G48" i="1" s="1"/>
  <c r="F47" i="1"/>
  <c r="G47" i="1" s="1"/>
  <c r="K47" i="1" s="1"/>
  <c r="F46" i="1"/>
  <c r="G46" i="1" s="1"/>
  <c r="F45" i="1"/>
  <c r="G45" i="1" s="1"/>
  <c r="F44" i="1"/>
  <c r="G44" i="1" s="1"/>
  <c r="F43" i="1"/>
  <c r="G43" i="1" s="1"/>
  <c r="K43" i="1" s="1"/>
  <c r="F42" i="1"/>
  <c r="G42" i="1" s="1"/>
  <c r="K42" i="1" s="1"/>
  <c r="F41" i="1"/>
  <c r="G41" i="1" s="1"/>
  <c r="G113" i="1"/>
  <c r="H113" i="1" s="1"/>
  <c r="G112" i="1"/>
  <c r="H112" i="1" s="1"/>
  <c r="G111" i="1"/>
  <c r="H111" i="1" s="1"/>
  <c r="G110" i="1"/>
  <c r="H110" i="1" s="1"/>
  <c r="G109" i="1"/>
  <c r="H109" i="1" s="1"/>
  <c r="G106" i="1"/>
  <c r="H106" i="1" s="1"/>
  <c r="G105" i="1"/>
  <c r="H105" i="1" s="1"/>
  <c r="G104" i="1"/>
  <c r="H104" i="1" s="1"/>
  <c r="G103" i="1"/>
  <c r="H103" i="1" s="1"/>
  <c r="G102" i="1"/>
  <c r="H102" i="1" s="1"/>
  <c r="E35" i="1"/>
  <c r="I22" i="1"/>
  <c r="I21" i="1"/>
  <c r="N25" i="1"/>
  <c r="K97" i="1" l="1"/>
  <c r="L97" i="1" s="1"/>
  <c r="I97" i="1"/>
  <c r="I251" i="1"/>
  <c r="L66" i="1"/>
  <c r="L42" i="1"/>
  <c r="L43" i="1"/>
  <c r="L47" i="1"/>
  <c r="L50" i="1"/>
  <c r="L51" i="1"/>
  <c r="L55" i="1"/>
  <c r="L58" i="1"/>
  <c r="L59" i="1"/>
  <c r="L63" i="1"/>
  <c r="L67" i="1"/>
  <c r="L71" i="1"/>
  <c r="L74" i="1"/>
  <c r="L75" i="1"/>
  <c r="L79" i="1"/>
  <c r="L82" i="1"/>
  <c r="L83" i="1"/>
  <c r="L87" i="1"/>
  <c r="L90" i="1"/>
  <c r="K44" i="1"/>
  <c r="L44" i="1" s="1"/>
  <c r="K52" i="1"/>
  <c r="L52" i="1" s="1"/>
  <c r="K46" i="1"/>
  <c r="L46" i="1" s="1"/>
  <c r="K54" i="1"/>
  <c r="L54" i="1" s="1"/>
  <c r="K62" i="1"/>
  <c r="L62" i="1" s="1"/>
  <c r="K70" i="1"/>
  <c r="L70" i="1" s="1"/>
  <c r="K78" i="1"/>
  <c r="L78" i="1" s="1"/>
  <c r="K86" i="1"/>
  <c r="L86" i="1" s="1"/>
  <c r="K48" i="1"/>
  <c r="L48" i="1" s="1"/>
  <c r="K56" i="1"/>
  <c r="L56" i="1" s="1"/>
  <c r="K60" i="1"/>
  <c r="L60" i="1" s="1"/>
  <c r="K64" i="1"/>
  <c r="L64" i="1" s="1"/>
  <c r="K68" i="1"/>
  <c r="L68" i="1" s="1"/>
  <c r="K72" i="1"/>
  <c r="L72" i="1" s="1"/>
  <c r="K76" i="1"/>
  <c r="L76" i="1" s="1"/>
  <c r="K80" i="1"/>
  <c r="L80" i="1" s="1"/>
  <c r="K84" i="1"/>
  <c r="L84" i="1" s="1"/>
  <c r="K88" i="1"/>
  <c r="L88" i="1" s="1"/>
  <c r="K41" i="1"/>
  <c r="L41" i="1" s="1"/>
  <c r="K45" i="1"/>
  <c r="L45" i="1" s="1"/>
  <c r="K49" i="1"/>
  <c r="L49" i="1" s="1"/>
  <c r="K53" i="1"/>
  <c r="L53" i="1" s="1"/>
  <c r="K57" i="1"/>
  <c r="L57" i="1" s="1"/>
  <c r="K61" i="1"/>
  <c r="L61" i="1" s="1"/>
  <c r="K65" i="1"/>
  <c r="L65" i="1" s="1"/>
  <c r="K69" i="1"/>
  <c r="L69" i="1" s="1"/>
  <c r="K73" i="1"/>
  <c r="L73" i="1" s="1"/>
  <c r="K77" i="1"/>
  <c r="L77" i="1" s="1"/>
  <c r="K81" i="1"/>
  <c r="L81" i="1" s="1"/>
  <c r="K85" i="1"/>
  <c r="L85" i="1" s="1"/>
  <c r="K89" i="1"/>
  <c r="L89" i="1" s="1"/>
  <c r="E33" i="1"/>
  <c r="G22" i="1" l="1"/>
  <c r="G21" i="1"/>
  <c r="I41" i="1" s="1"/>
  <c r="G20" i="1"/>
  <c r="E138" i="1" s="1"/>
  <c r="E31" i="1" l="1"/>
  <c r="E30" i="1"/>
  <c r="J22" i="1"/>
  <c r="J21" i="1"/>
  <c r="F116" i="1"/>
  <c r="E116" i="1"/>
  <c r="E183" i="1" s="1"/>
  <c r="E94" i="1"/>
  <c r="A135" i="1" s="1"/>
  <c r="B135" i="1" s="1"/>
  <c r="C135" i="1" s="1"/>
  <c r="E93" i="1"/>
  <c r="F93" i="1" s="1"/>
  <c r="G93" i="1" s="1"/>
  <c r="K93" i="1" s="1"/>
  <c r="L93" i="1" s="1"/>
  <c r="E92" i="1"/>
  <c r="F92" i="1" s="1"/>
  <c r="G92" i="1" s="1"/>
  <c r="K92" i="1" s="1"/>
  <c r="L92" i="1" s="1"/>
  <c r="K140" i="1" l="1"/>
  <c r="L140" i="1" s="1"/>
  <c r="K139" i="1"/>
  <c r="L139" i="1" s="1"/>
  <c r="L138" i="1"/>
  <c r="I140" i="1"/>
  <c r="J140" i="1" s="1"/>
  <c r="I139" i="1"/>
  <c r="J139" i="1" s="1"/>
  <c r="J138" i="1"/>
  <c r="F94" i="1"/>
  <c r="G94" i="1" s="1"/>
  <c r="K251" i="1" s="1"/>
  <c r="L251" i="1" s="1"/>
  <c r="G180" i="1"/>
  <c r="H180" i="1" s="1"/>
  <c r="I180" i="1" s="1"/>
  <c r="K180" i="1" s="1"/>
  <c r="G179" i="1"/>
  <c r="H179" i="1" s="1"/>
  <c r="I179" i="1" s="1"/>
  <c r="K179" i="1" s="1"/>
  <c r="G178" i="1"/>
  <c r="I178" i="1" s="1"/>
  <c r="I92" i="1"/>
  <c r="I93" i="1"/>
  <c r="K94" i="1" l="1"/>
  <c r="L94" i="1" s="1"/>
  <c r="L111" i="1"/>
  <c r="L103" i="1"/>
  <c r="L102" i="1"/>
  <c r="L109" i="1"/>
  <c r="L104" i="1"/>
  <c r="M180" i="1"/>
  <c r="M179" i="1"/>
  <c r="M178" i="1"/>
  <c r="K178" i="1"/>
  <c r="I81" i="1"/>
  <c r="I68" i="1"/>
  <c r="I70" i="1"/>
  <c r="I90" i="1"/>
  <c r="I64" i="1"/>
  <c r="I58" i="1"/>
  <c r="I47" i="1"/>
  <c r="I63" i="1"/>
  <c r="I79" i="1"/>
  <c r="I48" i="1"/>
  <c r="I84" i="1"/>
  <c r="I53" i="1"/>
  <c r="I69" i="1"/>
  <c r="I85" i="1"/>
  <c r="I42" i="1"/>
  <c r="I78" i="1"/>
  <c r="I76" i="1"/>
  <c r="I66" i="1"/>
  <c r="I51" i="1"/>
  <c r="I67" i="1"/>
  <c r="I83" i="1"/>
  <c r="I49" i="1"/>
  <c r="I60" i="1"/>
  <c r="I57" i="1"/>
  <c r="I89" i="1"/>
  <c r="I82" i="1"/>
  <c r="I44" i="1"/>
  <c r="I74" i="1"/>
  <c r="I55" i="1"/>
  <c r="I71" i="1"/>
  <c r="I87" i="1"/>
  <c r="I94" i="1"/>
  <c r="I80" i="1"/>
  <c r="I65" i="1"/>
  <c r="I88" i="1"/>
  <c r="I73" i="1"/>
  <c r="I50" i="1"/>
  <c r="I46" i="1"/>
  <c r="I72" i="1"/>
  <c r="I45" i="1"/>
  <c r="I61" i="1"/>
  <c r="I77" i="1"/>
  <c r="I52" i="1"/>
  <c r="I62" i="1"/>
  <c r="I86" i="1"/>
  <c r="I56" i="1"/>
  <c r="I54" i="1"/>
  <c r="I43" i="1"/>
  <c r="I59" i="1"/>
  <c r="I75" i="1"/>
  <c r="L113" i="1" l="1"/>
  <c r="L112" i="1"/>
  <c r="L110" i="1"/>
  <c r="L106" i="1"/>
  <c r="L105" i="1"/>
  <c r="J102" i="1"/>
  <c r="O102" i="1" s="1"/>
  <c r="J106" i="1"/>
  <c r="O106" i="1" s="1"/>
  <c r="J113" i="1"/>
  <c r="J104" i="1"/>
  <c r="O104" i="1" s="1"/>
  <c r="J112" i="1"/>
  <c r="O112" i="1" s="1"/>
  <c r="J109" i="1"/>
  <c r="O109" i="1" s="1"/>
  <c r="J105" i="1"/>
  <c r="J111" i="1"/>
  <c r="O111" i="1" s="1"/>
  <c r="J103" i="1"/>
  <c r="O103" i="1" s="1"/>
  <c r="J110" i="1"/>
  <c r="O110" i="1" s="1"/>
  <c r="O105" i="1" l="1"/>
  <c r="O113" i="1"/>
</calcChain>
</file>

<file path=xl/sharedStrings.xml><?xml version="1.0" encoding="utf-8"?>
<sst xmlns="http://schemas.openxmlformats.org/spreadsheetml/2006/main" count="368" uniqueCount="205">
  <si>
    <t>Tom Riley</t>
  </si>
  <si>
    <t>1.  Physical constants</t>
  </si>
  <si>
    <t>Earth Gravitation Constant</t>
  </si>
  <si>
    <t>Mars Gravitations Constant</t>
  </si>
  <si>
    <t>Apollo Capsule</t>
  </si>
  <si>
    <t>Apollo Suits</t>
  </si>
  <si>
    <t>ISS Suites</t>
  </si>
  <si>
    <t>Denver</t>
  </si>
  <si>
    <t>Mt. Everest</t>
  </si>
  <si>
    <t>Moon Gravitational Constant</t>
  </si>
  <si>
    <t>ISS Habitat</t>
  </si>
  <si>
    <t>Notes:</t>
  </si>
  <si>
    <t>Core #</t>
  </si>
  <si>
    <t>Mission</t>
  </si>
  <si>
    <t>Landmark</t>
  </si>
  <si>
    <t>Bulk Density</t>
  </si>
  <si>
    <t>Halo Crater</t>
  </si>
  <si>
    <t>Weird Crater</t>
  </si>
  <si>
    <t>Triplet</t>
  </si>
  <si>
    <t>St. George Crater</t>
  </si>
  <si>
    <t>Hadley Rille</t>
  </si>
  <si>
    <t>Stone Mountain</t>
  </si>
  <si>
    <t>South Ray Crater</t>
  </si>
  <si>
    <t>Camelot Crater</t>
  </si>
  <si>
    <t>Lara Crater</t>
  </si>
  <si>
    <t>Shorty Crater</t>
  </si>
  <si>
    <t>Van Serg Crater</t>
  </si>
  <si>
    <t>Min Apollo</t>
  </si>
  <si>
    <t xml:space="preserve">Aver Apollo </t>
  </si>
  <si>
    <t>Max Apollo</t>
  </si>
  <si>
    <t>Sea Level</t>
  </si>
  <si>
    <t>(psi)</t>
  </si>
  <si>
    <t>Mexico City</t>
  </si>
  <si>
    <t>Open Airplane</t>
  </si>
  <si>
    <t>Oxygen at Sea Level</t>
  </si>
  <si>
    <t>atm</t>
  </si>
  <si>
    <t>Pure O2</t>
  </si>
  <si>
    <t>Air</t>
  </si>
  <si>
    <t>Apennine Front</t>
  </si>
  <si>
    <t>North Massif</t>
  </si>
  <si>
    <t>Apollo 12</t>
  </si>
  <si>
    <t>Apollo 14</t>
  </si>
  <si>
    <t>Apollo 15</t>
  </si>
  <si>
    <t>Apollo 16</t>
  </si>
  <si>
    <t>Apollo 17</t>
  </si>
  <si>
    <t>Mir Habitat</t>
  </si>
  <si>
    <t>Water</t>
  </si>
  <si>
    <r>
      <t>Weight</t>
    </r>
    <r>
      <rPr>
        <b/>
        <sz val="9"/>
        <color theme="1"/>
        <rFont val="Calibri"/>
        <family val="2"/>
        <scheme val="minor"/>
      </rPr>
      <t>m</t>
    </r>
  </si>
  <si>
    <t>Weighte</t>
  </si>
  <si>
    <t>kg / g</t>
  </si>
  <si>
    <t>"How much lunar regolith is needed to equal the mass of the air above your head?"</t>
  </si>
  <si>
    <t>2. Conversion Constants:</t>
  </si>
  <si>
    <r>
      <t>NASA, "</t>
    </r>
    <r>
      <rPr>
        <i/>
        <sz val="11"/>
        <color theme="1"/>
        <rFont val="Calibri"/>
        <family val="2"/>
        <scheme val="minor"/>
      </rPr>
      <t>Lunar Sourcebook</t>
    </r>
    <r>
      <rPr>
        <sz val="11"/>
        <color theme="1"/>
        <rFont val="Calibri"/>
        <family val="2"/>
        <scheme val="minor"/>
      </rPr>
      <t>, Chapter 7, The Lunar Regolith"</t>
    </r>
  </si>
  <si>
    <t>N/kg</t>
  </si>
  <si>
    <t>g</t>
  </si>
  <si>
    <t>m/s^2</t>
  </si>
  <si>
    <t>m</t>
  </si>
  <si>
    <t>ft/m</t>
  </si>
  <si>
    <t>regolith</t>
  </si>
  <si>
    <t>"What is the boiling point of water in this habitat?"</t>
  </si>
  <si>
    <t>Air on Earth at STP</t>
  </si>
  <si>
    <t>kPa</t>
  </si>
  <si>
    <t>Pressure</t>
  </si>
  <si>
    <t>Density</t>
  </si>
  <si>
    <t>inHg</t>
  </si>
  <si>
    <t>ftWater</t>
  </si>
  <si>
    <t>Ratio</t>
  </si>
  <si>
    <t>Shield</t>
  </si>
  <si>
    <t>Sea level</t>
  </si>
  <si>
    <t>kg/m^3</t>
  </si>
  <si>
    <r>
      <t>g/cm^</t>
    </r>
    <r>
      <rPr>
        <b/>
        <sz val="10"/>
        <color theme="1"/>
        <rFont val="Calibri"/>
        <family val="2"/>
        <scheme val="minor"/>
      </rPr>
      <t>3</t>
    </r>
  </si>
  <si>
    <t>Newton/m^3</t>
  </si>
  <si>
    <t>(ft)</t>
  </si>
  <si>
    <t>N/m^3</t>
  </si>
  <si>
    <t>Regolith supported</t>
  </si>
  <si>
    <t>m^2 / cm^2</t>
  </si>
  <si>
    <t>kPa/(N/m^2)</t>
  </si>
  <si>
    <t>N/m^2</t>
  </si>
  <si>
    <t>Pa</t>
  </si>
  <si>
    <t>kg/cm^3</t>
  </si>
  <si>
    <t>(lbs/in^3)</t>
  </si>
  <si>
    <t>(lbs/in^3)/(kg/m^3)</t>
  </si>
  <si>
    <t>Roof support</t>
  </si>
  <si>
    <t>Weightm</t>
  </si>
  <si>
    <t>Earth examples:</t>
  </si>
  <si>
    <t>Historic examples:</t>
  </si>
  <si>
    <t>Partial pressure of Oxygen:</t>
  </si>
  <si>
    <t>Check</t>
  </si>
  <si>
    <t>SI</t>
  </si>
  <si>
    <t>1.  The origin of the 5 meter rule</t>
  </si>
  <si>
    <t>(See Note 1)</t>
  </si>
  <si>
    <t>psi / kPa</t>
  </si>
  <si>
    <t>3. Regolith Densities from real Apollo Data</t>
  </si>
  <si>
    <t>(See Note 2)</t>
  </si>
  <si>
    <t>Reference:</t>
  </si>
  <si>
    <t>2.  Roof Support Calculation</t>
  </si>
  <si>
    <t>3.  Mass of Nitrogen needed</t>
  </si>
  <si>
    <t>4.  Decompression Time Estimator</t>
  </si>
  <si>
    <t>Notes on Radiation Protection:</t>
  </si>
  <si>
    <t>Questions for Settlement Calculator:</t>
  </si>
  <si>
    <t>"Will your chosen habitat air pressure support the roof?"</t>
  </si>
  <si>
    <t>6.  Volume to Dig</t>
  </si>
  <si>
    <t>Purpose:</t>
  </si>
  <si>
    <t>"Big Moon Dig, Lunar Settlement Calculator"</t>
  </si>
  <si>
    <t>"Think through converting the height of water supported by the Earth's atmosphere into meters of lunar regolith."</t>
  </si>
  <si>
    <t>"How much regolith do we need to dig for  each meter of habitat buried?"</t>
  </si>
  <si>
    <t xml:space="preserve">This spreadsheet is the basis of the </t>
  </si>
  <si>
    <t>Developing a Settlement Design of your own:</t>
  </si>
  <si>
    <t>5. Boiling Point of Water Estimator</t>
  </si>
  <si>
    <r>
      <t>O</t>
    </r>
    <r>
      <rPr>
        <sz val="9"/>
        <color theme="1"/>
        <rFont val="Calibri"/>
        <family val="2"/>
        <scheme val="minor"/>
      </rPr>
      <t>2</t>
    </r>
  </si>
  <si>
    <t>(English)</t>
  </si>
  <si>
    <t>(See Note 3)</t>
  </si>
  <si>
    <t>The preferred calculations for all Moon work are done in the SI (metric) system.</t>
  </si>
  <si>
    <t>This is only an estimate for the needed shielding but it is a good place to start.</t>
  </si>
  <si>
    <t>Input: Name</t>
  </si>
  <si>
    <t>Input:  E-mail address</t>
  </si>
  <si>
    <t>Calculating Score:</t>
  </si>
  <si>
    <t>Percent</t>
  </si>
  <si>
    <t>4. Possible Habitat Air Pressures</t>
  </si>
  <si>
    <t>Acceleration</t>
  </si>
  <si>
    <t>File:  BMDSettlementCalmmddyy.xls</t>
  </si>
  <si>
    <t>Lunar Settlement Calculator</t>
  </si>
  <si>
    <t>Work-in-Progress</t>
  </si>
  <si>
    <t>Nitrogen</t>
  </si>
  <si>
    <t>at STP</t>
  </si>
  <si>
    <t>and the 5 Meter Rule.</t>
  </si>
  <si>
    <t>Then to match the mass over people's heads in places where they now live, we will need between 5 and 6 meters of lunar regolith.</t>
  </si>
  <si>
    <r>
      <t>The 5 Meter Rule is then the minimum, and is</t>
    </r>
    <r>
      <rPr>
        <b/>
        <sz val="11"/>
        <color theme="1"/>
        <rFont val="Calibri"/>
        <family val="2"/>
        <scheme val="minor"/>
      </rPr>
      <t xml:space="preserve"> not</t>
    </r>
    <r>
      <rPr>
        <sz val="11"/>
        <color theme="1"/>
        <rFont val="Calibri"/>
        <family val="2"/>
        <scheme val="minor"/>
      </rPr>
      <t xml:space="preserve"> an acceptable average.</t>
    </r>
  </si>
  <si>
    <t>input:  Density of regolith to use (expected range 1.6 to 2.3 g/cm^3)</t>
  </si>
  <si>
    <t>Input:  Air pressure to use for your habitat (expected range 70 to 102 kPa)</t>
  </si>
  <si>
    <t>Input:  Maximum slope allowed (expected range 30 to 50 degrees)</t>
  </si>
  <si>
    <t>Calculate thickness of regolith supported.</t>
  </si>
  <si>
    <t>Percentage</t>
  </si>
  <si>
    <t xml:space="preserve">Roof Safety </t>
  </si>
  <si>
    <t>Input:  Thickness of regolith over your habitat (expected range 5 to 6 meters)</t>
  </si>
  <si>
    <t>Input:  Diameter of cross-section of  habitat (expected range 2.5 to 4 meters)</t>
  </si>
  <si>
    <t>Calculate proportion taken up by Nitrogen.</t>
  </si>
  <si>
    <t>Calculate the mass of Nitrogen at STP.</t>
  </si>
  <si>
    <t>Calculate the mass of Nitrogen at given internal pressure assuming standard temperature.</t>
  </si>
  <si>
    <t>"About how long will a person have to wait in a room at suit pressure before making an EVA?"</t>
  </si>
  <si>
    <t>"What mass of nitrogen do you need to ship from Earth for every 100 m^3 of living space or 10 m of your tube?"</t>
  </si>
  <si>
    <t>Output:  Mass of nitrogen per 100 m^3.</t>
  </si>
  <si>
    <t>Output:  Mass of nitrogen per 10 meters of tube.</t>
  </si>
  <si>
    <t>Calculate volume of material to be moved.</t>
  </si>
  <si>
    <t>Output:  Volume of material to be moved</t>
  </si>
  <si>
    <t>Test pressure range.</t>
  </si>
  <si>
    <t>Test shield depth range.</t>
  </si>
  <si>
    <t>Test EVA time range.</t>
  </si>
  <si>
    <t>Test mass from Earth range.</t>
  </si>
  <si>
    <t>Test for warning is anything is out of range.</t>
  </si>
  <si>
    <t>Test to rate risk as to:  (1) over all risk, (2) radiation protection, (3) EVA ease, and (4) mass from Earth.</t>
  </si>
  <si>
    <t>Output: Notes on what is good and what is bad about the design.</t>
  </si>
  <si>
    <t>Export:  form with design e-mailed to BMD.bigmoondig.com.</t>
  </si>
  <si>
    <t>deg C</t>
  </si>
  <si>
    <t>1.  Boilling point of Water versis Pressure</t>
  </si>
  <si>
    <t xml:space="preserve">Boiling Point </t>
  </si>
  <si>
    <t>C</t>
  </si>
  <si>
    <t>Equation from chart:  Temp = 22.169 ln(Pres) -4.4516</t>
  </si>
  <si>
    <t>Human body temperature</t>
  </si>
  <si>
    <t>Cal to 100C</t>
  </si>
  <si>
    <t>Output:  Boiling point of water in habitat</t>
  </si>
  <si>
    <t>Use input on habitat diameter from above.</t>
  </si>
  <si>
    <t>Calculate depth and width of bottom flat.</t>
  </si>
  <si>
    <t>Calculate width at top given slope restriction.</t>
  </si>
  <si>
    <t>Rate the reasonableness of design against current norms.</t>
  </si>
  <si>
    <t>Output:  Overall rating and rating in three categories</t>
  </si>
  <si>
    <t>Spreadsheet Basis for Calculations</t>
  </si>
  <si>
    <t>Calculate:  Margin of safety  (give warning if &lt; 150%)</t>
  </si>
  <si>
    <t>Calculate cross-section area.  Assume length of 1 meter.</t>
  </si>
  <si>
    <t>Output:  Time you must wait before EVA.</t>
  </si>
  <si>
    <t>Boiling Point of Water vs. Pressure</t>
  </si>
  <si>
    <t>"This parameter strongly effects the inhabitants ability to cook.</t>
  </si>
  <si>
    <t>Time</t>
  </si>
  <si>
    <t>minutes</t>
  </si>
  <si>
    <t>2.  Decompuression Time Esimator</t>
  </si>
  <si>
    <t>Equation from chart:  Time =2.0349*(Pres) -65.95</t>
  </si>
  <si>
    <t>hours</t>
  </si>
  <si>
    <t>N2</t>
  </si>
  <si>
    <t>Vol</t>
  </si>
  <si>
    <t>m^3</t>
  </si>
  <si>
    <t>Partial</t>
  </si>
  <si>
    <t>100m^3</t>
  </si>
  <si>
    <t>kg</t>
  </si>
  <si>
    <t>(lbs)</t>
  </si>
  <si>
    <t>lbs/kg</t>
  </si>
  <si>
    <t>Save</t>
  </si>
  <si>
    <t>Example</t>
  </si>
  <si>
    <t>Diameter</t>
  </si>
  <si>
    <t>Slope</t>
  </si>
  <si>
    <t>degree</t>
  </si>
  <si>
    <t>Depth</t>
  </si>
  <si>
    <t>Top Width</t>
  </si>
  <si>
    <t>Volume</t>
  </si>
  <si>
    <t>mton</t>
  </si>
  <si>
    <t>Density H2O</t>
  </si>
  <si>
    <t>g/cm^3</t>
  </si>
  <si>
    <t>Earth Gravity</t>
  </si>
  <si>
    <t>kg/m^2</t>
  </si>
  <si>
    <t>Air Pressure</t>
  </si>
  <si>
    <t>DensityRegolith</t>
  </si>
  <si>
    <t>Column H2O</t>
  </si>
  <si>
    <t>Column Regolith</t>
  </si>
  <si>
    <t>% STP</t>
  </si>
  <si>
    <t>Habitat Press</t>
  </si>
  <si>
    <t>Moon 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</si>
</sst>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9" x14ac:knownFonts="1">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sz val="9"/>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15" fontId="0" fillId="0" borderId="0" xfId="0" applyNumberFormat="1"/>
    <xf numFmtId="164" fontId="0" fillId="0" borderId="0" xfId="0" applyNumberFormat="1"/>
    <xf numFmtId="0" fontId="1" fillId="0" borderId="0" xfId="0" applyFont="1"/>
    <xf numFmtId="2" fontId="0" fillId="0" borderId="0" xfId="0" applyNumberFormat="1"/>
    <xf numFmtId="165" fontId="0" fillId="0" borderId="0" xfId="0" applyNumberFormat="1"/>
    <xf numFmtId="0" fontId="0" fillId="0" borderId="0" xfId="0" applyFont="1"/>
    <xf numFmtId="0" fontId="1" fillId="0" borderId="0" xfId="0" applyFont="1" applyAlignment="1">
      <alignment horizontal="center"/>
    </xf>
    <xf numFmtId="9" fontId="0" fillId="0" borderId="0" xfId="0" applyNumberFormat="1"/>
    <xf numFmtId="2" fontId="1" fillId="0" borderId="0" xfId="0" applyNumberFormat="1" applyFont="1"/>
    <xf numFmtId="4" fontId="0" fillId="0" borderId="0" xfId="0" applyNumberFormat="1"/>
    <xf numFmtId="2" fontId="0" fillId="0" borderId="0" xfId="0" applyNumberFormat="1" applyFont="1"/>
    <xf numFmtId="0" fontId="0" fillId="0" borderId="0" xfId="0" applyAlignment="1">
      <alignment horizontal="center"/>
    </xf>
    <xf numFmtId="0" fontId="0" fillId="0" borderId="0" xfId="0" applyFont="1" applyAlignment="1">
      <alignment horizontal="center"/>
    </xf>
    <xf numFmtId="0" fontId="5" fillId="0" borderId="0" xfId="0" applyFont="1"/>
    <xf numFmtId="0" fontId="6" fillId="0" borderId="0" xfId="0" applyFont="1"/>
    <xf numFmtId="0" fontId="0" fillId="0" borderId="0" xfId="0" quotePrefix="1"/>
    <xf numFmtId="0" fontId="0" fillId="0" borderId="0" xfId="0" quotePrefix="1" applyFont="1"/>
    <xf numFmtId="0" fontId="8" fillId="0" borderId="0" xfId="0" applyFont="1"/>
    <xf numFmtId="2" fontId="1" fillId="0" borderId="0" xfId="0" applyNumberFormat="1" applyFont="1" applyAlignment="1">
      <alignment horizontal="center"/>
    </xf>
    <xf numFmtId="2" fontId="0" fillId="0" borderId="0" xfId="0" applyNumberFormat="1" applyAlignment="1">
      <alignment horizontal="center"/>
    </xf>
    <xf numFmtId="165" fontId="1" fillId="0" borderId="0" xfId="0" applyNumberFormat="1" applyFont="1" applyAlignment="1">
      <alignment horizontal="center"/>
    </xf>
    <xf numFmtId="1" fontId="0" fillId="0" borderId="0" xfId="0" applyNumberFormat="1"/>
    <xf numFmtId="0" fontId="1" fillId="0" borderId="0" xfId="0" quotePrefix="1" applyFont="1" applyAlignment="1">
      <alignment horizontal="center"/>
    </xf>
    <xf numFmtId="2" fontId="0" fillId="0" borderId="0" xfId="0" quotePrefix="1" applyNumberFormat="1" applyFont="1"/>
    <xf numFmtId="2" fontId="0" fillId="0" borderId="0" xfId="0" quotePrefix="1" applyNumberFormat="1"/>
    <xf numFmtId="10" fontId="0" fillId="0" borderId="0" xfId="0" applyNumberFormat="1"/>
    <xf numFmtId="0" fontId="1" fillId="0" borderId="0" xfId="0" applyFont="1" applyAlignment="1">
      <alignment horizontal="left"/>
    </xf>
    <xf numFmtId="0" fontId="1" fillId="0" borderId="0" xfId="0" quotePrefix="1"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log"/>
            <c:dispRSqr val="0"/>
            <c:dispEq val="1"/>
            <c:trendlineLbl>
              <c:layout>
                <c:manualLayout>
                  <c:x val="-5.3061898512685918E-2"/>
                  <c:y val="-8.1390347039953334E-2"/>
                </c:manualLayout>
              </c:layout>
              <c:numFmt formatCode="General" sourceLinked="0"/>
            </c:trendlineLbl>
          </c:trendline>
          <c:xVal>
            <c:numRef>
              <c:f>Data!$B$212:$B$227</c:f>
              <c:numCache>
                <c:formatCode>0.00</c:formatCode>
                <c:ptCount val="16"/>
                <c:pt idx="0">
                  <c:v>3.45</c:v>
                </c:pt>
                <c:pt idx="1">
                  <c:v>6.9</c:v>
                </c:pt>
                <c:pt idx="2">
                  <c:v>13.79</c:v>
                </c:pt>
                <c:pt idx="3">
                  <c:v>20.69</c:v>
                </c:pt>
                <c:pt idx="4">
                  <c:v>27.58</c:v>
                </c:pt>
                <c:pt idx="5">
                  <c:v>34.479999999999997</c:v>
                </c:pt>
                <c:pt idx="6">
                  <c:v>41.37</c:v>
                </c:pt>
                <c:pt idx="7">
                  <c:v>48.27</c:v>
                </c:pt>
                <c:pt idx="8">
                  <c:v>55.27</c:v>
                </c:pt>
                <c:pt idx="9">
                  <c:v>62.06</c:v>
                </c:pt>
                <c:pt idx="10">
                  <c:v>68.95</c:v>
                </c:pt>
                <c:pt idx="11">
                  <c:v>76.849999999999994</c:v>
                </c:pt>
                <c:pt idx="12">
                  <c:v>82.74</c:v>
                </c:pt>
                <c:pt idx="13">
                  <c:v>89.64</c:v>
                </c:pt>
                <c:pt idx="14">
                  <c:v>96.53</c:v>
                </c:pt>
                <c:pt idx="15">
                  <c:v>101.3</c:v>
                </c:pt>
              </c:numCache>
            </c:numRef>
          </c:xVal>
          <c:yVal>
            <c:numRef>
              <c:f>Data!$C$212:$C$227</c:f>
              <c:numCache>
                <c:formatCode>0.00</c:formatCode>
                <c:ptCount val="16"/>
                <c:pt idx="0">
                  <c:v>26.4</c:v>
                </c:pt>
                <c:pt idx="1">
                  <c:v>38.700000000000003</c:v>
                </c:pt>
                <c:pt idx="2">
                  <c:v>52.2</c:v>
                </c:pt>
                <c:pt idx="3">
                  <c:v>60.8</c:v>
                </c:pt>
                <c:pt idx="4">
                  <c:v>67.2</c:v>
                </c:pt>
                <c:pt idx="5">
                  <c:v>72.3</c:v>
                </c:pt>
                <c:pt idx="6">
                  <c:v>76.7</c:v>
                </c:pt>
                <c:pt idx="7">
                  <c:v>80.400000000000006</c:v>
                </c:pt>
                <c:pt idx="8">
                  <c:v>83.8</c:v>
                </c:pt>
                <c:pt idx="9">
                  <c:v>86.8</c:v>
                </c:pt>
                <c:pt idx="10">
                  <c:v>89.6</c:v>
                </c:pt>
                <c:pt idx="11">
                  <c:v>92.1</c:v>
                </c:pt>
                <c:pt idx="12">
                  <c:v>94.4</c:v>
                </c:pt>
                <c:pt idx="13">
                  <c:v>96.6</c:v>
                </c:pt>
                <c:pt idx="14">
                  <c:v>98.7</c:v>
                </c:pt>
                <c:pt idx="15">
                  <c:v>100</c:v>
                </c:pt>
              </c:numCache>
            </c:numRef>
          </c:yVal>
          <c:smooth val="1"/>
        </c:ser>
        <c:dLbls>
          <c:showLegendKey val="0"/>
          <c:showVal val="0"/>
          <c:showCatName val="0"/>
          <c:showSerName val="0"/>
          <c:showPercent val="0"/>
          <c:showBubbleSize val="0"/>
        </c:dLbls>
        <c:axId val="320821568"/>
        <c:axId val="320822352"/>
      </c:scatterChart>
      <c:valAx>
        <c:axId val="320821568"/>
        <c:scaling>
          <c:orientation val="minMax"/>
        </c:scaling>
        <c:delete val="0"/>
        <c:axPos val="b"/>
        <c:numFmt formatCode="0.00" sourceLinked="1"/>
        <c:majorTickMark val="out"/>
        <c:minorTickMark val="none"/>
        <c:tickLblPos val="nextTo"/>
        <c:crossAx val="320822352"/>
        <c:crosses val="autoZero"/>
        <c:crossBetween val="midCat"/>
      </c:valAx>
      <c:valAx>
        <c:axId val="320822352"/>
        <c:scaling>
          <c:orientation val="minMax"/>
        </c:scaling>
        <c:delete val="0"/>
        <c:axPos val="l"/>
        <c:majorGridlines/>
        <c:numFmt formatCode="0.00" sourceLinked="1"/>
        <c:majorTickMark val="out"/>
        <c:minorTickMark val="none"/>
        <c:tickLblPos val="nextTo"/>
        <c:crossAx val="3208215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rendline>
            <c:trendlineType val="linear"/>
            <c:dispRSqr val="0"/>
            <c:dispEq val="1"/>
            <c:trendlineLbl>
              <c:numFmt formatCode="General" sourceLinked="0"/>
            </c:trendlineLbl>
          </c:trendline>
          <c:xVal>
            <c:numRef>
              <c:f>Data!$E$198:$E$201</c:f>
              <c:numCache>
                <c:formatCode>0.00</c:formatCode>
                <c:ptCount val="4"/>
                <c:pt idx="0">
                  <c:v>101.3</c:v>
                </c:pt>
                <c:pt idx="1">
                  <c:v>84</c:v>
                </c:pt>
                <c:pt idx="2">
                  <c:v>81.400000000000006</c:v>
                </c:pt>
                <c:pt idx="3">
                  <c:v>32.4</c:v>
                </c:pt>
              </c:numCache>
            </c:numRef>
          </c:xVal>
          <c:yVal>
            <c:numRef>
              <c:f>Data!$F$198:$F$201</c:f>
              <c:numCache>
                <c:formatCode>0</c:formatCode>
                <c:ptCount val="4"/>
                <c:pt idx="0" formatCode="General">
                  <c:v>140</c:v>
                </c:pt>
                <c:pt idx="1">
                  <c:v>105.0016</c:v>
                </c:pt>
                <c:pt idx="2">
                  <c:v>99.710859999999997</c:v>
                </c:pt>
                <c:pt idx="3" formatCode="General">
                  <c:v>0</c:v>
                </c:pt>
              </c:numCache>
            </c:numRef>
          </c:yVal>
          <c:smooth val="0"/>
        </c:ser>
        <c:dLbls>
          <c:showLegendKey val="0"/>
          <c:showVal val="0"/>
          <c:showCatName val="0"/>
          <c:showSerName val="0"/>
          <c:showPercent val="0"/>
          <c:showBubbleSize val="0"/>
        </c:dLbls>
        <c:axId val="320826664"/>
        <c:axId val="320820784"/>
      </c:scatterChart>
      <c:valAx>
        <c:axId val="320826664"/>
        <c:scaling>
          <c:orientation val="minMax"/>
        </c:scaling>
        <c:delete val="0"/>
        <c:axPos val="b"/>
        <c:numFmt formatCode="0.00" sourceLinked="1"/>
        <c:majorTickMark val="out"/>
        <c:minorTickMark val="none"/>
        <c:tickLblPos val="nextTo"/>
        <c:crossAx val="320820784"/>
        <c:crosses val="autoZero"/>
        <c:crossBetween val="midCat"/>
      </c:valAx>
      <c:valAx>
        <c:axId val="320820784"/>
        <c:scaling>
          <c:orientation val="minMax"/>
        </c:scaling>
        <c:delete val="0"/>
        <c:axPos val="l"/>
        <c:majorGridlines/>
        <c:numFmt formatCode="General" sourceLinked="1"/>
        <c:majorTickMark val="out"/>
        <c:minorTickMark val="none"/>
        <c:tickLblPos val="nextTo"/>
        <c:crossAx val="3208266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76199</xdr:colOff>
      <xdr:row>2</xdr:row>
      <xdr:rowOff>99060</xdr:rowOff>
    </xdr:from>
    <xdr:to>
      <xdr:col>11</xdr:col>
      <xdr:colOff>78960</xdr:colOff>
      <xdr:row>15</xdr:row>
      <xdr:rowOff>15240</xdr:rowOff>
    </xdr:to>
    <xdr:pic>
      <xdr:nvPicPr>
        <xdr:cNvPr id="2" name="Picture 1" descr="DeepHabitatCross02.jpg"/>
        <xdr:cNvPicPr>
          <a:picLocks noChangeAspect="1"/>
        </xdr:cNvPicPr>
      </xdr:nvPicPr>
      <xdr:blipFill>
        <a:blip xmlns:r="http://schemas.openxmlformats.org/officeDocument/2006/relationships" r:embed="rId1" cstate="print"/>
        <a:stretch>
          <a:fillRect/>
        </a:stretch>
      </xdr:blipFill>
      <xdr:spPr>
        <a:xfrm>
          <a:off x="2827019" y="556260"/>
          <a:ext cx="4620481" cy="2293620"/>
        </a:xfrm>
        <a:prstGeom prst="rect">
          <a:avLst/>
        </a:prstGeom>
      </xdr:spPr>
    </xdr:pic>
    <xdr:clientData/>
  </xdr:twoCellAnchor>
  <xdr:oneCellAnchor>
    <xdr:from>
      <xdr:col>0</xdr:col>
      <xdr:colOff>571500</xdr:colOff>
      <xdr:row>280</xdr:row>
      <xdr:rowOff>99060</xdr:rowOff>
    </xdr:from>
    <xdr:ext cx="5433060" cy="3009900"/>
    <xdr:sp macro="" textlink="">
      <xdr:nvSpPr>
        <xdr:cNvPr id="3" name="TextBox 2"/>
        <xdr:cNvSpPr txBox="1"/>
      </xdr:nvSpPr>
      <xdr:spPr>
        <a:xfrm>
          <a:off x="571500" y="34450020"/>
          <a:ext cx="5433060" cy="3009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The recent space missions Lunar Reconnaissance Orbiter (LRO) </a:t>
          </a:r>
          <a:r>
            <a:rPr lang="en-US" sz="1100" baseline="30000">
              <a:solidFill>
                <a:schemeClr val="tx1"/>
              </a:solidFill>
              <a:latin typeface="+mn-lt"/>
              <a:ea typeface="+mn-ea"/>
              <a:cs typeface="+mn-cs"/>
            </a:rPr>
            <a:t>3</a:t>
          </a:r>
          <a:r>
            <a:rPr lang="en-US" sz="1100">
              <a:solidFill>
                <a:schemeClr val="tx1"/>
              </a:solidFill>
              <a:latin typeface="+mn-lt"/>
              <a:ea typeface="+mn-ea"/>
              <a:cs typeface="+mn-cs"/>
            </a:rPr>
            <a:t> and Curiosity carried instruments specifically designed to measure the danger of space radiation to human beings.  Their results are now in and not what we wanted to hear at all.  The radiation danger for humans in space is much worse than we foresaw, in fact, about it is about twice as bad.</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latin typeface="+mn-lt"/>
              <a:ea typeface="+mn-ea"/>
              <a:cs typeface="+mn-cs"/>
            </a:rPr>
            <a:t>There are two separate radiation dangers for a manned space mission, Coronal Mass Ejections (CME) or solar storms, and Galactic Cosmic Rays (GCR).  Our old lunar settlement design considered CME’s to be the worst problem and was designed to deal with them, but this turned out to be wrong, dead wrong.</a:t>
          </a:r>
          <a:r>
            <a:rPr lang="en-US"/>
            <a:t> </a:t>
          </a:r>
          <a:endParaRPr lang="en-US" sz="1100">
            <a:solidFill>
              <a:schemeClr val="tx1"/>
            </a:solidFill>
            <a:latin typeface="+mn-lt"/>
            <a:ea typeface="+mn-ea"/>
            <a:cs typeface="+mn-cs"/>
          </a:endParaRPr>
        </a:p>
        <a:p>
          <a:endParaRPr lang="en-US" sz="1100"/>
        </a:p>
        <a:p>
          <a:r>
            <a:rPr lang="en-US" sz="1100" b="0" i="0" u="none" strike="noStrike">
              <a:solidFill>
                <a:schemeClr val="tx1"/>
              </a:solidFill>
              <a:latin typeface="+mn-lt"/>
              <a:ea typeface="+mn-ea"/>
              <a:cs typeface="+mn-cs"/>
            </a:rPr>
            <a:t>The real problem is GCR.  Galactic cosmic rays are not as concentrated as a CME at its peak, but they are very penetrating.  They are present 24/7/365 and they will go through a space suit, they will go through a spacecraft skin, and they will go through a meter of lunar regolith.  To make matters worse, insufficient radiation shielding will work against you.  A thin shield only increases deadly secondary radiation.</a:t>
          </a:r>
          <a:r>
            <a:rPr lang="en-US"/>
            <a:t> </a:t>
          </a:r>
          <a:endParaRPr lang="en-US" sz="1100"/>
        </a:p>
      </xdr:txBody>
    </xdr:sp>
    <xdr:clientData/>
  </xdr:oneCellAnchor>
  <xdr:oneCellAnchor>
    <xdr:from>
      <xdr:col>0</xdr:col>
      <xdr:colOff>228601</xdr:colOff>
      <xdr:row>191</xdr:row>
      <xdr:rowOff>45720</xdr:rowOff>
    </xdr:from>
    <xdr:ext cx="5875020" cy="487680"/>
    <xdr:sp macro="" textlink="">
      <xdr:nvSpPr>
        <xdr:cNvPr id="4" name="TextBox 3"/>
        <xdr:cNvSpPr txBox="1"/>
      </xdr:nvSpPr>
      <xdr:spPr>
        <a:xfrm>
          <a:off x="228601" y="32583120"/>
          <a:ext cx="5875020" cy="487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a:t>The ISS pre-breathe protocol involves breathing pure oxygen for a total of 2 hours and 20 minutes</a:t>
          </a:r>
        </a:p>
        <a:p>
          <a:r>
            <a:rPr lang="en-US"/>
            <a:t> and includes a short period of high-intensity exercise at the beginning of the pre-breathe procedure.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7620</xdr:colOff>
      <xdr:row>4</xdr:row>
      <xdr:rowOff>175260</xdr:rowOff>
    </xdr:from>
    <xdr:to>
      <xdr:col>8</xdr:col>
      <xdr:colOff>312420</xdr:colOff>
      <xdr:row>19</xdr:row>
      <xdr:rowOff>175260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xdr:colOff>
      <xdr:row>24</xdr:row>
      <xdr:rowOff>30480</xdr:rowOff>
    </xdr:from>
    <xdr:to>
      <xdr:col>8</xdr:col>
      <xdr:colOff>365760</xdr:colOff>
      <xdr:row>39</xdr:row>
      <xdr:rowOff>30480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8"/>
  <sheetViews>
    <sheetView tabSelected="1" workbookViewId="0">
      <selection activeCell="B8" sqref="B8"/>
    </sheetView>
  </sheetViews>
  <sheetFormatPr defaultRowHeight="14.4" x14ac:dyDescent="0.3"/>
  <cols>
    <col min="1" max="1" width="9.44140625" bestFit="1" customWidth="1"/>
    <col min="2" max="2" width="9.5546875" customWidth="1"/>
    <col min="3" max="3" width="15.6640625" customWidth="1"/>
    <col min="4" max="4" width="5.44140625" customWidth="1"/>
    <col min="5" max="5" width="12" bestFit="1" customWidth="1"/>
    <col min="9" max="9" width="11" bestFit="1" customWidth="1"/>
    <col min="10" max="10" width="7.33203125" customWidth="1"/>
    <col min="11" max="11" width="10.33203125" customWidth="1"/>
  </cols>
  <sheetData>
    <row r="1" spans="1:8" ht="18" x14ac:dyDescent="0.35">
      <c r="F1" s="14" t="s">
        <v>121</v>
      </c>
      <c r="G1" s="15"/>
      <c r="H1" s="15"/>
    </row>
    <row r="2" spans="1:8" ht="18" x14ac:dyDescent="0.35">
      <c r="F2" s="14" t="s">
        <v>166</v>
      </c>
      <c r="G2" s="15"/>
      <c r="H2" s="15"/>
    </row>
    <row r="4" spans="1:8" x14ac:dyDescent="0.3">
      <c r="A4" t="s">
        <v>0</v>
      </c>
      <c r="C4" s="3" t="s">
        <v>122</v>
      </c>
    </row>
    <row r="5" spans="1:8" x14ac:dyDescent="0.3">
      <c r="A5" s="1">
        <v>41619</v>
      </c>
    </row>
    <row r="6" spans="1:8" x14ac:dyDescent="0.3">
      <c r="A6" s="1" t="s">
        <v>120</v>
      </c>
    </row>
    <row r="8" spans="1:8" x14ac:dyDescent="0.3">
      <c r="A8" s="3" t="s">
        <v>102</v>
      </c>
    </row>
    <row r="10" spans="1:8" x14ac:dyDescent="0.3">
      <c r="A10" t="s">
        <v>106</v>
      </c>
    </row>
    <row r="11" spans="1:8" x14ac:dyDescent="0.3">
      <c r="A11" t="s">
        <v>103</v>
      </c>
    </row>
    <row r="12" spans="1:8" x14ac:dyDescent="0.3">
      <c r="A12" s="16" t="s">
        <v>125</v>
      </c>
    </row>
    <row r="17" spans="1:15" ht="18" x14ac:dyDescent="0.35">
      <c r="A17" s="14" t="s">
        <v>107</v>
      </c>
    </row>
    <row r="19" spans="1:15" ht="15.6" x14ac:dyDescent="0.3">
      <c r="A19" s="18" t="s">
        <v>1</v>
      </c>
      <c r="F19" s="3" t="s">
        <v>119</v>
      </c>
      <c r="H19" s="7" t="s">
        <v>88</v>
      </c>
      <c r="I19" s="7" t="s">
        <v>66</v>
      </c>
      <c r="J19" s="3" t="s">
        <v>117</v>
      </c>
    </row>
    <row r="20" spans="1:15" x14ac:dyDescent="0.3">
      <c r="A20" t="s">
        <v>2</v>
      </c>
      <c r="D20" t="s">
        <v>54</v>
      </c>
      <c r="E20" s="4">
        <v>9.81</v>
      </c>
      <c r="F20" s="7" t="s">
        <v>55</v>
      </c>
      <c r="G20" s="4">
        <f>E20</f>
        <v>9.81</v>
      </c>
      <c r="H20" s="7" t="s">
        <v>53</v>
      </c>
      <c r="I20" s="4">
        <v>1</v>
      </c>
      <c r="J20" s="8">
        <v>1</v>
      </c>
      <c r="L20" s="4"/>
    </row>
    <row r="21" spans="1:15" x14ac:dyDescent="0.3">
      <c r="A21" t="s">
        <v>9</v>
      </c>
      <c r="D21" t="s">
        <v>54</v>
      </c>
      <c r="E21" s="4">
        <v>1.63</v>
      </c>
      <c r="F21" s="7" t="s">
        <v>55</v>
      </c>
      <c r="G21" s="4">
        <f>E21</f>
        <v>1.63</v>
      </c>
      <c r="H21" s="7" t="s">
        <v>53</v>
      </c>
      <c r="I21" s="4">
        <f>E20/E21</f>
        <v>6.0184049079754605</v>
      </c>
      <c r="J21" s="8">
        <f>E21/E20</f>
        <v>0.16615698267074411</v>
      </c>
      <c r="L21" s="4"/>
    </row>
    <row r="22" spans="1:15" x14ac:dyDescent="0.3">
      <c r="A22" t="s">
        <v>3</v>
      </c>
      <c r="D22" t="s">
        <v>54</v>
      </c>
      <c r="E22" s="4">
        <v>3.75</v>
      </c>
      <c r="F22" s="7" t="s">
        <v>55</v>
      </c>
      <c r="G22" s="4">
        <f>E22</f>
        <v>3.75</v>
      </c>
      <c r="H22" s="7" t="s">
        <v>53</v>
      </c>
      <c r="I22" s="4">
        <f>E20/E22</f>
        <v>2.6160000000000001</v>
      </c>
      <c r="J22" s="8">
        <f>E22/E20</f>
        <v>0.38226299694189603</v>
      </c>
      <c r="L22" s="4"/>
    </row>
    <row r="23" spans="1:15" x14ac:dyDescent="0.3">
      <c r="E23" s="4"/>
      <c r="F23" s="7"/>
      <c r="H23" s="4"/>
      <c r="I23" s="3"/>
      <c r="J23" s="8"/>
    </row>
    <row r="24" spans="1:15" x14ac:dyDescent="0.3">
      <c r="A24" t="s">
        <v>60</v>
      </c>
      <c r="E24" s="4"/>
      <c r="F24" s="7"/>
      <c r="H24" s="4"/>
      <c r="I24" s="3"/>
      <c r="J24" s="8"/>
    </row>
    <row r="25" spans="1:15" x14ac:dyDescent="0.3">
      <c r="A25" t="s">
        <v>62</v>
      </c>
      <c r="E25" s="4">
        <v>101.32299999999999</v>
      </c>
      <c r="F25" s="7" t="s">
        <v>61</v>
      </c>
      <c r="G25">
        <f>E25*1000</f>
        <v>101323</v>
      </c>
      <c r="H25" s="7" t="s">
        <v>77</v>
      </c>
      <c r="L25" s="4">
        <v>29.92</v>
      </c>
      <c r="M25" s="7" t="s">
        <v>64</v>
      </c>
      <c r="N25" s="10">
        <f>L25*13.55/12</f>
        <v>33.784666666666674</v>
      </c>
      <c r="O25" s="7" t="s">
        <v>65</v>
      </c>
    </row>
    <row r="26" spans="1:15" x14ac:dyDescent="0.3">
      <c r="A26" t="s">
        <v>63</v>
      </c>
      <c r="E26" s="4">
        <v>1.224</v>
      </c>
      <c r="F26" s="7" t="s">
        <v>69</v>
      </c>
      <c r="H26" s="4"/>
      <c r="J26" s="8"/>
    </row>
    <row r="27" spans="1:15" x14ac:dyDescent="0.3">
      <c r="A27" t="s">
        <v>123</v>
      </c>
      <c r="C27" t="s">
        <v>124</v>
      </c>
      <c r="E27" s="4">
        <v>1.2505999999999999</v>
      </c>
      <c r="F27" s="7" t="s">
        <v>69</v>
      </c>
      <c r="H27" s="4"/>
      <c r="I27" s="7"/>
      <c r="J27" s="8"/>
    </row>
    <row r="28" spans="1:15" x14ac:dyDescent="0.3">
      <c r="E28" s="4"/>
      <c r="F28" s="7"/>
      <c r="H28" s="4"/>
      <c r="J28" s="8"/>
    </row>
    <row r="29" spans="1:15" ht="15.6" x14ac:dyDescent="0.3">
      <c r="A29" s="18" t="s">
        <v>51</v>
      </c>
      <c r="E29" t="s">
        <v>90</v>
      </c>
    </row>
    <row r="30" spans="1:15" x14ac:dyDescent="0.3">
      <c r="A30" t="s">
        <v>75</v>
      </c>
      <c r="E30">
        <f>1/(100*100)</f>
        <v>1E-4</v>
      </c>
    </row>
    <row r="31" spans="1:15" x14ac:dyDescent="0.3">
      <c r="A31" t="s">
        <v>49</v>
      </c>
      <c r="E31">
        <f>1/1000</f>
        <v>1E-3</v>
      </c>
    </row>
    <row r="32" spans="1:15" x14ac:dyDescent="0.3">
      <c r="A32" t="s">
        <v>57</v>
      </c>
      <c r="E32">
        <v>3.28084</v>
      </c>
    </row>
    <row r="33" spans="1:12" x14ac:dyDescent="0.3">
      <c r="A33" t="s">
        <v>91</v>
      </c>
      <c r="E33">
        <f xml:space="preserve"> 1 / 0.145037737730209</f>
        <v>6.8947572931683716</v>
      </c>
    </row>
    <row r="34" spans="1:12" x14ac:dyDescent="0.3">
      <c r="A34" t="s">
        <v>81</v>
      </c>
      <c r="E34">
        <f>1/27680</f>
        <v>3.6127167630057806E-5</v>
      </c>
    </row>
    <row r="35" spans="1:12" x14ac:dyDescent="0.3">
      <c r="A35" t="s">
        <v>76</v>
      </c>
      <c r="E35">
        <f>1/1000</f>
        <v>1E-3</v>
      </c>
    </row>
    <row r="36" spans="1:12" x14ac:dyDescent="0.3">
      <c r="A36" t="s">
        <v>184</v>
      </c>
      <c r="E36">
        <v>2.2046000000000001</v>
      </c>
    </row>
    <row r="38" spans="1:12" ht="15.6" x14ac:dyDescent="0.3">
      <c r="A38" s="18" t="s">
        <v>92</v>
      </c>
      <c r="F38" t="s">
        <v>93</v>
      </c>
    </row>
    <row r="39" spans="1:12" x14ac:dyDescent="0.3">
      <c r="A39" s="3" t="s">
        <v>12</v>
      </c>
      <c r="B39" s="3" t="s">
        <v>13</v>
      </c>
      <c r="C39" s="3" t="s">
        <v>14</v>
      </c>
      <c r="D39" s="3"/>
      <c r="E39" s="7" t="s">
        <v>15</v>
      </c>
      <c r="I39" s="7" t="s">
        <v>47</v>
      </c>
      <c r="K39" s="7" t="s">
        <v>48</v>
      </c>
      <c r="L39" s="7" t="s">
        <v>83</v>
      </c>
    </row>
    <row r="40" spans="1:12" x14ac:dyDescent="0.3">
      <c r="A40" s="3"/>
      <c r="B40" s="3"/>
      <c r="C40" s="3"/>
      <c r="D40" s="3"/>
      <c r="E40" s="7" t="s">
        <v>70</v>
      </c>
      <c r="F40" t="s">
        <v>79</v>
      </c>
      <c r="G40" s="3" t="s">
        <v>69</v>
      </c>
      <c r="H40" s="3"/>
      <c r="I40" s="3" t="s">
        <v>71</v>
      </c>
      <c r="J40" s="3"/>
      <c r="K40" s="3" t="s">
        <v>80</v>
      </c>
      <c r="L40" s="3" t="s">
        <v>80</v>
      </c>
    </row>
    <row r="41" spans="1:12" x14ac:dyDescent="0.3">
      <c r="A41" s="6">
        <v>10004</v>
      </c>
      <c r="E41" s="4">
        <v>1.59</v>
      </c>
      <c r="F41">
        <f>E41/1000</f>
        <v>1.5900000000000001E-3</v>
      </c>
      <c r="G41" s="4">
        <f>F41*(100*100*100)</f>
        <v>1590</v>
      </c>
      <c r="I41" s="4">
        <f>G41*$G$21</f>
        <v>2591.6999999999998</v>
      </c>
      <c r="J41" s="4"/>
      <c r="K41" s="5">
        <f t="shared" ref="K41:K72" si="0">G41*$E$34</f>
        <v>5.744219653179191E-2</v>
      </c>
      <c r="L41">
        <f t="shared" ref="L41:L72" si="1">K41/$I$21</f>
        <v>9.5444220537024265E-3</v>
      </c>
    </row>
    <row r="42" spans="1:12" x14ac:dyDescent="0.3">
      <c r="A42" s="6">
        <v>10006</v>
      </c>
      <c r="E42" s="4">
        <v>1.71</v>
      </c>
      <c r="F42">
        <f t="shared" ref="F42:F97" si="2">E42/1000</f>
        <v>1.7099999999999999E-3</v>
      </c>
      <c r="G42" s="4">
        <f t="shared" ref="G42:G97" si="3">F42*(100*100*100)</f>
        <v>1710</v>
      </c>
      <c r="I42" s="4">
        <f t="shared" ref="I42:I72" si="4">G42*$G$21</f>
        <v>2787.2999999999997</v>
      </c>
      <c r="J42" s="4"/>
      <c r="K42" s="5">
        <f t="shared" si="0"/>
        <v>6.1777456647398851E-2</v>
      </c>
      <c r="L42">
        <f t="shared" si="1"/>
        <v>1.0264755793604498E-2</v>
      </c>
    </row>
    <row r="43" spans="1:12" x14ac:dyDescent="0.3">
      <c r="A43" s="6">
        <v>12025</v>
      </c>
      <c r="B43" t="s">
        <v>40</v>
      </c>
      <c r="C43" t="s">
        <v>16</v>
      </c>
      <c r="E43" s="4">
        <v>1.98</v>
      </c>
      <c r="F43">
        <f t="shared" si="2"/>
        <v>1.98E-3</v>
      </c>
      <c r="G43" s="4">
        <f t="shared" si="3"/>
        <v>1980</v>
      </c>
      <c r="I43" s="4">
        <f t="shared" si="4"/>
        <v>3227.3999999999996</v>
      </c>
      <c r="J43" s="4"/>
      <c r="K43" s="5">
        <f t="shared" si="0"/>
        <v>7.153179190751445E-2</v>
      </c>
      <c r="L43">
        <f t="shared" si="1"/>
        <v>1.1885506708384154E-2</v>
      </c>
    </row>
    <row r="44" spans="1:12" x14ac:dyDescent="0.3">
      <c r="A44" s="6">
        <v>12026</v>
      </c>
      <c r="E44" s="4">
        <v>1.74</v>
      </c>
      <c r="F44">
        <f t="shared" si="2"/>
        <v>1.74E-3</v>
      </c>
      <c r="G44" s="4">
        <f t="shared" si="3"/>
        <v>1740</v>
      </c>
      <c r="I44" s="4">
        <f t="shared" si="4"/>
        <v>2836.2</v>
      </c>
      <c r="J44" s="4"/>
      <c r="K44" s="5">
        <f t="shared" si="0"/>
        <v>6.2861271676300581E-2</v>
      </c>
      <c r="L44">
        <f t="shared" si="1"/>
        <v>1.0444839228580015E-2</v>
      </c>
    </row>
    <row r="45" spans="1:12" x14ac:dyDescent="0.3">
      <c r="A45" s="6">
        <v>12028</v>
      </c>
      <c r="B45" t="s">
        <v>40</v>
      </c>
      <c r="C45" t="s">
        <v>16</v>
      </c>
      <c r="E45" s="4">
        <v>1.96</v>
      </c>
      <c r="F45">
        <f t="shared" si="2"/>
        <v>1.9599999999999999E-3</v>
      </c>
      <c r="G45" s="4">
        <f t="shared" si="3"/>
        <v>1960</v>
      </c>
      <c r="I45" s="4">
        <f t="shared" si="4"/>
        <v>3194.7999999999997</v>
      </c>
      <c r="J45" s="4"/>
      <c r="K45" s="5">
        <f t="shared" si="0"/>
        <v>7.0809248554913301E-2</v>
      </c>
      <c r="L45">
        <f t="shared" si="1"/>
        <v>1.1765451085067144E-2</v>
      </c>
    </row>
    <row r="46" spans="1:12" x14ac:dyDescent="0.3">
      <c r="A46" s="6">
        <v>14210</v>
      </c>
      <c r="B46" t="s">
        <v>41</v>
      </c>
      <c r="C46" t="s">
        <v>17</v>
      </c>
      <c r="E46" s="4">
        <v>1.75</v>
      </c>
      <c r="F46">
        <f t="shared" si="2"/>
        <v>1.75E-3</v>
      </c>
      <c r="G46" s="4">
        <f t="shared" si="3"/>
        <v>1750</v>
      </c>
      <c r="I46" s="4">
        <f t="shared" si="4"/>
        <v>2852.5</v>
      </c>
      <c r="J46" s="4"/>
      <c r="K46" s="5">
        <f t="shared" si="0"/>
        <v>6.3222543352601163E-2</v>
      </c>
      <c r="L46">
        <f t="shared" si="1"/>
        <v>1.050486704023852E-2</v>
      </c>
    </row>
    <row r="47" spans="1:12" x14ac:dyDescent="0.3">
      <c r="A47" s="6">
        <v>14211</v>
      </c>
      <c r="B47" t="s">
        <v>41</v>
      </c>
      <c r="C47" t="s">
        <v>17</v>
      </c>
      <c r="E47" s="4">
        <v>1.73</v>
      </c>
      <c r="F47">
        <f t="shared" si="2"/>
        <v>1.73E-3</v>
      </c>
      <c r="G47" s="4">
        <f t="shared" si="3"/>
        <v>1730</v>
      </c>
      <c r="I47" s="4">
        <f t="shared" si="4"/>
        <v>2819.8999999999996</v>
      </c>
      <c r="J47" s="4"/>
      <c r="K47" s="5">
        <f t="shared" si="0"/>
        <v>6.25E-2</v>
      </c>
      <c r="L47">
        <f t="shared" si="1"/>
        <v>1.0384811416921508E-2</v>
      </c>
    </row>
    <row r="48" spans="1:12" x14ac:dyDescent="0.3">
      <c r="A48" s="6">
        <v>14220</v>
      </c>
      <c r="B48" t="s">
        <v>41</v>
      </c>
      <c r="C48" t="s">
        <v>18</v>
      </c>
      <c r="E48" s="4">
        <v>1.6</v>
      </c>
      <c r="F48">
        <f t="shared" si="2"/>
        <v>1.6000000000000001E-3</v>
      </c>
      <c r="G48" s="4">
        <f t="shared" si="3"/>
        <v>1600</v>
      </c>
      <c r="I48" s="4">
        <f t="shared" si="4"/>
        <v>2608</v>
      </c>
      <c r="J48" s="4"/>
      <c r="K48" s="5">
        <f t="shared" si="0"/>
        <v>5.7803468208092491E-2</v>
      </c>
      <c r="L48">
        <f t="shared" si="1"/>
        <v>9.6044498653609332E-3</v>
      </c>
    </row>
    <row r="49" spans="1:12" x14ac:dyDescent="0.3">
      <c r="A49" s="6">
        <v>15001</v>
      </c>
      <c r="E49" s="4">
        <v>1.93</v>
      </c>
      <c r="F49">
        <f t="shared" si="2"/>
        <v>1.9299999999999999E-3</v>
      </c>
      <c r="G49" s="4">
        <f t="shared" si="3"/>
        <v>1929.9999999999998</v>
      </c>
      <c r="I49" s="4">
        <f t="shared" si="4"/>
        <v>3145.8999999999996</v>
      </c>
      <c r="J49" s="4"/>
      <c r="K49" s="5">
        <f t="shared" si="0"/>
        <v>6.9725433526011557E-2</v>
      </c>
      <c r="L49">
        <f t="shared" si="1"/>
        <v>1.1585367650091624E-2</v>
      </c>
    </row>
    <row r="50" spans="1:12" x14ac:dyDescent="0.3">
      <c r="A50" s="6">
        <v>15002</v>
      </c>
      <c r="E50" s="4">
        <v>1.64</v>
      </c>
      <c r="F50">
        <f t="shared" si="2"/>
        <v>1.64E-3</v>
      </c>
      <c r="G50" s="4">
        <f t="shared" si="3"/>
        <v>1640</v>
      </c>
      <c r="I50" s="4">
        <f t="shared" si="4"/>
        <v>2673.2</v>
      </c>
      <c r="J50" s="4"/>
      <c r="K50" s="5">
        <f t="shared" si="0"/>
        <v>5.9248554913294803E-2</v>
      </c>
      <c r="L50">
        <f t="shared" si="1"/>
        <v>9.8445611119949566E-3</v>
      </c>
    </row>
    <row r="51" spans="1:12" x14ac:dyDescent="0.3">
      <c r="A51" s="6">
        <v>15003</v>
      </c>
      <c r="E51" s="4">
        <v>1.74</v>
      </c>
      <c r="F51">
        <f t="shared" si="2"/>
        <v>1.74E-3</v>
      </c>
      <c r="G51" s="4">
        <f t="shared" si="3"/>
        <v>1740</v>
      </c>
      <c r="I51" s="4">
        <f t="shared" si="4"/>
        <v>2836.2</v>
      </c>
      <c r="J51" s="4"/>
      <c r="K51" s="5">
        <f t="shared" si="0"/>
        <v>6.2861271676300581E-2</v>
      </c>
      <c r="L51">
        <f t="shared" si="1"/>
        <v>1.0444839228580015E-2</v>
      </c>
    </row>
    <row r="52" spans="1:12" x14ac:dyDescent="0.3">
      <c r="A52" s="6">
        <v>15004</v>
      </c>
      <c r="E52" s="4">
        <v>1.74</v>
      </c>
      <c r="F52">
        <f t="shared" si="2"/>
        <v>1.74E-3</v>
      </c>
      <c r="G52" s="4">
        <f t="shared" si="3"/>
        <v>1740</v>
      </c>
      <c r="I52" s="4">
        <f t="shared" si="4"/>
        <v>2836.2</v>
      </c>
      <c r="J52" s="4"/>
      <c r="K52" s="5">
        <f t="shared" si="0"/>
        <v>6.2861271676300581E-2</v>
      </c>
      <c r="L52">
        <f t="shared" si="1"/>
        <v>1.0444839228580015E-2</v>
      </c>
    </row>
    <row r="53" spans="1:12" x14ac:dyDescent="0.3">
      <c r="A53" s="6">
        <v>15005</v>
      </c>
      <c r="E53" s="4">
        <v>1.78</v>
      </c>
      <c r="F53">
        <f t="shared" si="2"/>
        <v>1.7800000000000001E-3</v>
      </c>
      <c r="G53" s="4">
        <f t="shared" si="3"/>
        <v>1780.0000000000002</v>
      </c>
      <c r="I53" s="4">
        <f t="shared" si="4"/>
        <v>2901.4</v>
      </c>
      <c r="J53" s="4"/>
      <c r="K53" s="5">
        <f t="shared" si="0"/>
        <v>6.4306358381502907E-2</v>
      </c>
      <c r="L53">
        <f t="shared" si="1"/>
        <v>1.068495047521404E-2</v>
      </c>
    </row>
    <row r="54" spans="1:12" x14ac:dyDescent="0.3">
      <c r="A54" s="6">
        <v>15006</v>
      </c>
      <c r="E54" s="4">
        <v>1.58</v>
      </c>
      <c r="F54">
        <f t="shared" si="2"/>
        <v>1.58E-3</v>
      </c>
      <c r="G54" s="4">
        <f t="shared" si="3"/>
        <v>1580</v>
      </c>
      <c r="I54" s="4">
        <f t="shared" si="4"/>
        <v>2575.3999999999996</v>
      </c>
      <c r="J54" s="4"/>
      <c r="K54" s="5">
        <f t="shared" si="0"/>
        <v>5.7080924855491336E-2</v>
      </c>
      <c r="L54">
        <f t="shared" si="1"/>
        <v>9.4843942420439215E-3</v>
      </c>
    </row>
    <row r="55" spans="1:12" x14ac:dyDescent="0.3">
      <c r="A55" s="6">
        <v>15007</v>
      </c>
      <c r="B55" t="s">
        <v>42</v>
      </c>
      <c r="C55" t="s">
        <v>19</v>
      </c>
      <c r="E55" s="4">
        <v>1.69</v>
      </c>
      <c r="F55">
        <f t="shared" si="2"/>
        <v>1.6899999999999999E-3</v>
      </c>
      <c r="G55" s="4">
        <f t="shared" si="3"/>
        <v>1689.9999999999998</v>
      </c>
      <c r="I55" s="4">
        <f t="shared" si="4"/>
        <v>2754.6999999999994</v>
      </c>
      <c r="J55" s="4"/>
      <c r="K55" s="5">
        <f t="shared" si="0"/>
        <v>6.1054913294797682E-2</v>
      </c>
      <c r="L55">
        <f t="shared" si="1"/>
        <v>1.0144700170287483E-2</v>
      </c>
    </row>
    <row r="56" spans="1:12" x14ac:dyDescent="0.3">
      <c r="A56" s="6">
        <v>15008</v>
      </c>
      <c r="B56" t="s">
        <v>42</v>
      </c>
      <c r="C56" t="s">
        <v>19</v>
      </c>
      <c r="E56" s="4">
        <v>1.36</v>
      </c>
      <c r="F56">
        <f t="shared" si="2"/>
        <v>1.3600000000000001E-3</v>
      </c>
      <c r="G56" s="4">
        <f t="shared" si="3"/>
        <v>1360</v>
      </c>
      <c r="I56" s="4">
        <f t="shared" si="4"/>
        <v>2216.7999999999997</v>
      </c>
      <c r="J56" s="4"/>
      <c r="K56" s="5">
        <f t="shared" si="0"/>
        <v>4.9132947976878616E-2</v>
      </c>
      <c r="L56">
        <f t="shared" si="1"/>
        <v>8.1637823855567927E-3</v>
      </c>
    </row>
    <row r="57" spans="1:12" x14ac:dyDescent="0.3">
      <c r="A57" s="6">
        <v>15009</v>
      </c>
      <c r="B57" t="s">
        <v>42</v>
      </c>
      <c r="C57" t="s">
        <v>38</v>
      </c>
      <c r="E57" s="4">
        <v>1.3</v>
      </c>
      <c r="F57">
        <f t="shared" si="2"/>
        <v>1.2999999999999999E-3</v>
      </c>
      <c r="G57" s="4">
        <f t="shared" si="3"/>
        <v>1300</v>
      </c>
      <c r="I57" s="4">
        <f t="shared" si="4"/>
        <v>2119</v>
      </c>
      <c r="J57" s="4"/>
      <c r="K57" s="5">
        <f t="shared" si="0"/>
        <v>4.6965317919075149E-2</v>
      </c>
      <c r="L57">
        <f t="shared" si="1"/>
        <v>7.8036155156057585E-3</v>
      </c>
    </row>
    <row r="58" spans="1:12" x14ac:dyDescent="0.3">
      <c r="A58" s="6">
        <v>15010</v>
      </c>
      <c r="B58" t="s">
        <v>42</v>
      </c>
      <c r="C58" t="s">
        <v>20</v>
      </c>
      <c r="E58" s="4">
        <v>1.91</v>
      </c>
      <c r="F58">
        <f t="shared" si="2"/>
        <v>1.91E-3</v>
      </c>
      <c r="G58" s="4">
        <f t="shared" si="3"/>
        <v>1910</v>
      </c>
      <c r="I58" s="4">
        <f t="shared" si="4"/>
        <v>3113.2999999999997</v>
      </c>
      <c r="J58" s="4"/>
      <c r="K58" s="5">
        <f t="shared" si="0"/>
        <v>6.9002890173410408E-2</v>
      </c>
      <c r="L58">
        <f t="shared" si="1"/>
        <v>1.1465312026774614E-2</v>
      </c>
    </row>
    <row r="59" spans="1:12" x14ac:dyDescent="0.3">
      <c r="A59" s="6">
        <v>15011</v>
      </c>
      <c r="B59" t="s">
        <v>42</v>
      </c>
      <c r="C59" t="s">
        <v>20</v>
      </c>
      <c r="E59" s="4">
        <v>1.69</v>
      </c>
      <c r="F59">
        <f t="shared" si="2"/>
        <v>1.6899999999999999E-3</v>
      </c>
      <c r="G59" s="4">
        <f t="shared" si="3"/>
        <v>1689.9999999999998</v>
      </c>
      <c r="I59" s="4">
        <f t="shared" si="4"/>
        <v>2754.6999999999994</v>
      </c>
      <c r="J59" s="4"/>
      <c r="K59" s="5">
        <f t="shared" si="0"/>
        <v>6.1054913294797682E-2</v>
      </c>
      <c r="L59">
        <f t="shared" si="1"/>
        <v>1.0144700170287483E-2</v>
      </c>
    </row>
    <row r="60" spans="1:12" x14ac:dyDescent="0.3">
      <c r="A60" s="6">
        <v>60001</v>
      </c>
      <c r="E60" s="4">
        <v>1.67</v>
      </c>
      <c r="F60">
        <f t="shared" si="2"/>
        <v>1.6699999999999998E-3</v>
      </c>
      <c r="G60" s="4">
        <f t="shared" si="3"/>
        <v>1669.9999999999998</v>
      </c>
      <c r="I60" s="4">
        <f t="shared" si="4"/>
        <v>2722.0999999999995</v>
      </c>
      <c r="J60" s="4"/>
      <c r="K60" s="5">
        <f t="shared" si="0"/>
        <v>6.0332369942196526E-2</v>
      </c>
      <c r="L60">
        <f t="shared" si="1"/>
        <v>1.0024644546970472E-2</v>
      </c>
    </row>
    <row r="61" spans="1:12" x14ac:dyDescent="0.3">
      <c r="A61" s="6">
        <v>60002</v>
      </c>
      <c r="E61" s="4">
        <v>1.81</v>
      </c>
      <c r="F61">
        <f t="shared" si="2"/>
        <v>1.81E-3</v>
      </c>
      <c r="G61" s="4">
        <f t="shared" si="3"/>
        <v>1810</v>
      </c>
      <c r="I61" s="4">
        <f t="shared" si="4"/>
        <v>2950.2999999999997</v>
      </c>
      <c r="J61" s="4"/>
      <c r="K61" s="5">
        <f t="shared" si="0"/>
        <v>6.5390173410404623E-2</v>
      </c>
      <c r="L61">
        <f t="shared" si="1"/>
        <v>1.0865033910189555E-2</v>
      </c>
    </row>
    <row r="62" spans="1:12" x14ac:dyDescent="0.3">
      <c r="A62" s="6">
        <v>60003</v>
      </c>
      <c r="E62" s="4">
        <v>1.67</v>
      </c>
      <c r="F62">
        <f t="shared" si="2"/>
        <v>1.6699999999999998E-3</v>
      </c>
      <c r="G62" s="4">
        <f t="shared" si="3"/>
        <v>1669.9999999999998</v>
      </c>
      <c r="I62" s="4">
        <f t="shared" si="4"/>
        <v>2722.0999999999995</v>
      </c>
      <c r="J62" s="4"/>
      <c r="K62" s="5">
        <f t="shared" si="0"/>
        <v>6.0332369942196526E-2</v>
      </c>
      <c r="L62">
        <f t="shared" si="1"/>
        <v>1.0024644546970472E-2</v>
      </c>
    </row>
    <row r="63" spans="1:12" x14ac:dyDescent="0.3">
      <c r="A63" s="6">
        <v>60004</v>
      </c>
      <c r="E63" s="4">
        <v>1.62</v>
      </c>
      <c r="F63">
        <f t="shared" si="2"/>
        <v>1.6200000000000001E-3</v>
      </c>
      <c r="G63" s="4">
        <f t="shared" si="3"/>
        <v>1620.0000000000002</v>
      </c>
      <c r="I63" s="4">
        <f t="shared" si="4"/>
        <v>2640.6000000000004</v>
      </c>
      <c r="J63" s="4"/>
      <c r="K63" s="5">
        <f t="shared" si="0"/>
        <v>5.8526011560693654E-2</v>
      </c>
      <c r="L63">
        <f t="shared" si="1"/>
        <v>9.7245054886779467E-3</v>
      </c>
    </row>
    <row r="64" spans="1:12" x14ac:dyDescent="0.3">
      <c r="A64" s="6">
        <v>60005</v>
      </c>
      <c r="E64" s="4">
        <v>1.58</v>
      </c>
      <c r="F64">
        <f t="shared" si="2"/>
        <v>1.58E-3</v>
      </c>
      <c r="G64" s="4">
        <f t="shared" si="3"/>
        <v>1580</v>
      </c>
      <c r="I64" s="4">
        <f t="shared" si="4"/>
        <v>2575.3999999999996</v>
      </c>
      <c r="J64" s="4"/>
      <c r="K64" s="5">
        <f t="shared" si="0"/>
        <v>5.7080924855491336E-2</v>
      </c>
      <c r="L64">
        <f t="shared" si="1"/>
        <v>9.4843942420439215E-3</v>
      </c>
    </row>
    <row r="65" spans="1:12" x14ac:dyDescent="0.3">
      <c r="A65" s="6">
        <v>60006</v>
      </c>
      <c r="E65" s="4">
        <v>1.62</v>
      </c>
      <c r="F65">
        <f t="shared" si="2"/>
        <v>1.6200000000000001E-3</v>
      </c>
      <c r="G65" s="4">
        <f t="shared" si="3"/>
        <v>1620.0000000000002</v>
      </c>
      <c r="I65" s="4">
        <f t="shared" si="4"/>
        <v>2640.6000000000004</v>
      </c>
      <c r="J65" s="4"/>
      <c r="K65" s="5">
        <f t="shared" si="0"/>
        <v>5.8526011560693654E-2</v>
      </c>
      <c r="L65">
        <f t="shared" si="1"/>
        <v>9.7245054886779467E-3</v>
      </c>
    </row>
    <row r="66" spans="1:12" x14ac:dyDescent="0.3">
      <c r="A66" s="6">
        <v>60007</v>
      </c>
      <c r="E66" s="4">
        <v>1.58</v>
      </c>
      <c r="F66">
        <f t="shared" si="2"/>
        <v>1.58E-3</v>
      </c>
      <c r="G66" s="4">
        <f t="shared" si="3"/>
        <v>1580</v>
      </c>
      <c r="I66" s="4">
        <f t="shared" si="4"/>
        <v>2575.3999999999996</v>
      </c>
      <c r="J66" s="4"/>
      <c r="K66" s="5">
        <f t="shared" si="0"/>
        <v>5.7080924855491336E-2</v>
      </c>
      <c r="L66">
        <f t="shared" si="1"/>
        <v>9.4843942420439215E-3</v>
      </c>
    </row>
    <row r="67" spans="1:12" x14ac:dyDescent="0.3">
      <c r="A67" s="6">
        <v>60008</v>
      </c>
      <c r="E67" s="4">
        <v>1.44</v>
      </c>
      <c r="F67">
        <f t="shared" si="2"/>
        <v>1.4399999999999999E-3</v>
      </c>
      <c r="G67" s="4">
        <f t="shared" si="3"/>
        <v>1439.9999999999998</v>
      </c>
      <c r="I67" s="4">
        <f t="shared" si="4"/>
        <v>2347.1999999999994</v>
      </c>
      <c r="J67" s="4"/>
      <c r="K67" s="5">
        <f t="shared" si="0"/>
        <v>5.2023121387283232E-2</v>
      </c>
      <c r="L67">
        <f t="shared" si="1"/>
        <v>8.6440048788248378E-3</v>
      </c>
    </row>
    <row r="68" spans="1:12" x14ac:dyDescent="0.3">
      <c r="A68" s="6">
        <v>60009</v>
      </c>
      <c r="E68" s="4">
        <v>1.72</v>
      </c>
      <c r="F68">
        <f t="shared" si="2"/>
        <v>1.72E-3</v>
      </c>
      <c r="G68" s="4">
        <f t="shared" si="3"/>
        <v>1720</v>
      </c>
      <c r="I68" s="4">
        <f t="shared" si="4"/>
        <v>2803.6</v>
      </c>
      <c r="J68" s="4"/>
      <c r="K68" s="5">
        <f t="shared" si="0"/>
        <v>6.2138728323699426E-2</v>
      </c>
      <c r="L68">
        <f t="shared" si="1"/>
        <v>1.0324783605263003E-2</v>
      </c>
    </row>
    <row r="69" spans="1:12" x14ac:dyDescent="0.3">
      <c r="A69" s="6">
        <v>60010</v>
      </c>
      <c r="E69" s="4">
        <v>1.47</v>
      </c>
      <c r="F69">
        <f t="shared" si="2"/>
        <v>1.47E-3</v>
      </c>
      <c r="G69" s="4">
        <f t="shared" si="3"/>
        <v>1470</v>
      </c>
      <c r="I69" s="4">
        <f t="shared" si="4"/>
        <v>2396.1</v>
      </c>
      <c r="J69" s="4"/>
      <c r="K69" s="5">
        <f t="shared" si="0"/>
        <v>5.3106936416184976E-2</v>
      </c>
      <c r="L69">
        <f t="shared" si="1"/>
        <v>8.824088313800358E-3</v>
      </c>
    </row>
    <row r="70" spans="1:12" x14ac:dyDescent="0.3">
      <c r="A70" s="6">
        <v>64001</v>
      </c>
      <c r="B70" t="s">
        <v>43</v>
      </c>
      <c r="C70" t="s">
        <v>21</v>
      </c>
      <c r="E70" s="4">
        <v>1.66</v>
      </c>
      <c r="F70">
        <f t="shared" si="2"/>
        <v>1.66E-3</v>
      </c>
      <c r="G70" s="4">
        <f t="shared" si="3"/>
        <v>1660</v>
      </c>
      <c r="I70" s="4">
        <f t="shared" si="4"/>
        <v>2705.7999999999997</v>
      </c>
      <c r="J70" s="4"/>
      <c r="K70" s="5">
        <f t="shared" si="0"/>
        <v>5.9971098265895958E-2</v>
      </c>
      <c r="L70">
        <f t="shared" si="1"/>
        <v>9.9646167353119684E-3</v>
      </c>
    </row>
    <row r="71" spans="1:12" x14ac:dyDescent="0.3">
      <c r="A71" s="6">
        <v>64002</v>
      </c>
      <c r="B71" t="s">
        <v>43</v>
      </c>
      <c r="C71" t="s">
        <v>21</v>
      </c>
      <c r="E71" s="4">
        <v>1.4</v>
      </c>
      <c r="F71">
        <f t="shared" si="2"/>
        <v>1.4E-3</v>
      </c>
      <c r="G71" s="4">
        <f t="shared" si="3"/>
        <v>1400</v>
      </c>
      <c r="I71" s="4">
        <f t="shared" si="4"/>
        <v>2282</v>
      </c>
      <c r="J71" s="4"/>
      <c r="K71" s="5">
        <f t="shared" si="0"/>
        <v>5.0578034682080927E-2</v>
      </c>
      <c r="L71">
        <f t="shared" si="1"/>
        <v>8.4038936321908161E-3</v>
      </c>
    </row>
    <row r="72" spans="1:12" x14ac:dyDescent="0.3">
      <c r="A72" s="6">
        <v>68001</v>
      </c>
      <c r="B72" t="s">
        <v>43</v>
      </c>
      <c r="C72" t="s">
        <v>22</v>
      </c>
      <c r="E72" s="4">
        <v>1.74</v>
      </c>
      <c r="F72">
        <f t="shared" si="2"/>
        <v>1.74E-3</v>
      </c>
      <c r="G72" s="4">
        <f t="shared" si="3"/>
        <v>1740</v>
      </c>
      <c r="I72" s="4">
        <f t="shared" si="4"/>
        <v>2836.2</v>
      </c>
      <c r="J72" s="4"/>
      <c r="K72" s="5">
        <f t="shared" si="0"/>
        <v>6.2861271676300581E-2</v>
      </c>
      <c r="L72">
        <f t="shared" si="1"/>
        <v>1.0444839228580015E-2</v>
      </c>
    </row>
    <row r="73" spans="1:12" x14ac:dyDescent="0.3">
      <c r="A73" s="6">
        <v>68002</v>
      </c>
      <c r="B73" t="s">
        <v>43</v>
      </c>
      <c r="C73" t="s">
        <v>22</v>
      </c>
      <c r="E73" s="4">
        <v>1.67</v>
      </c>
      <c r="F73">
        <f t="shared" si="2"/>
        <v>1.6699999999999998E-3</v>
      </c>
      <c r="G73" s="4">
        <f t="shared" si="3"/>
        <v>1669.9999999999998</v>
      </c>
      <c r="I73" s="4">
        <f t="shared" ref="I73:I90" si="5">G73*$G$21</f>
        <v>2722.0999999999995</v>
      </c>
      <c r="J73" s="4"/>
      <c r="K73" s="5">
        <f t="shared" ref="K73:K90" si="6">G73*$E$34</f>
        <v>6.0332369942196526E-2</v>
      </c>
      <c r="L73">
        <f t="shared" ref="L73:L90" si="7">K73/$I$21</f>
        <v>1.0024644546970472E-2</v>
      </c>
    </row>
    <row r="74" spans="1:12" x14ac:dyDescent="0.3">
      <c r="A74" s="6">
        <v>70001</v>
      </c>
      <c r="B74" t="s">
        <v>44</v>
      </c>
      <c r="C74" t="s">
        <v>23</v>
      </c>
      <c r="E74" s="4">
        <v>1.66</v>
      </c>
      <c r="F74">
        <f t="shared" si="2"/>
        <v>1.66E-3</v>
      </c>
      <c r="G74" s="4">
        <f t="shared" si="3"/>
        <v>1660</v>
      </c>
      <c r="I74" s="4">
        <f t="shared" si="5"/>
        <v>2705.7999999999997</v>
      </c>
      <c r="J74" s="4"/>
      <c r="K74" s="5">
        <f t="shared" si="6"/>
        <v>5.9971098265895958E-2</v>
      </c>
      <c r="L74">
        <f t="shared" si="7"/>
        <v>9.9646167353119684E-3</v>
      </c>
    </row>
    <row r="75" spans="1:12" x14ac:dyDescent="0.3">
      <c r="A75" s="6">
        <v>70002</v>
      </c>
      <c r="B75" t="s">
        <v>44</v>
      </c>
      <c r="C75" t="s">
        <v>23</v>
      </c>
      <c r="E75" s="4">
        <v>1.84</v>
      </c>
      <c r="F75">
        <f t="shared" si="2"/>
        <v>1.8400000000000001E-3</v>
      </c>
      <c r="G75" s="4">
        <f t="shared" si="3"/>
        <v>1840</v>
      </c>
      <c r="I75" s="4">
        <f t="shared" si="5"/>
        <v>2999.2</v>
      </c>
      <c r="J75" s="4"/>
      <c r="K75" s="5">
        <f t="shared" si="6"/>
        <v>6.6473988439306367E-2</v>
      </c>
      <c r="L75">
        <f t="shared" si="7"/>
        <v>1.1045117345165074E-2</v>
      </c>
    </row>
    <row r="76" spans="1:12" x14ac:dyDescent="0.3">
      <c r="A76" s="6">
        <v>70003</v>
      </c>
      <c r="B76" t="s">
        <v>44</v>
      </c>
      <c r="C76" t="s">
        <v>23</v>
      </c>
      <c r="E76" s="4">
        <v>1.84</v>
      </c>
      <c r="F76">
        <f t="shared" si="2"/>
        <v>1.8400000000000001E-3</v>
      </c>
      <c r="G76" s="4">
        <f t="shared" si="3"/>
        <v>1840</v>
      </c>
      <c r="I76" s="4">
        <f t="shared" si="5"/>
        <v>2999.2</v>
      </c>
      <c r="J76" s="4"/>
      <c r="K76" s="5">
        <f t="shared" si="6"/>
        <v>6.6473988439306367E-2</v>
      </c>
      <c r="L76">
        <f t="shared" si="7"/>
        <v>1.1045117345165074E-2</v>
      </c>
    </row>
    <row r="77" spans="1:12" x14ac:dyDescent="0.3">
      <c r="A77" s="6">
        <v>70004</v>
      </c>
      <c r="B77" t="s">
        <v>44</v>
      </c>
      <c r="C77" t="s">
        <v>23</v>
      </c>
      <c r="E77" s="4">
        <v>1.86</v>
      </c>
      <c r="F77">
        <f t="shared" si="2"/>
        <v>1.8600000000000001E-3</v>
      </c>
      <c r="G77" s="4">
        <f t="shared" si="3"/>
        <v>1860</v>
      </c>
      <c r="I77" s="4">
        <f t="shared" si="5"/>
        <v>3031.7999999999997</v>
      </c>
      <c r="J77" s="4"/>
      <c r="K77" s="5">
        <f t="shared" si="6"/>
        <v>6.7196531791907516E-2</v>
      </c>
      <c r="L77">
        <f t="shared" si="7"/>
        <v>1.1165172968482084E-2</v>
      </c>
    </row>
    <row r="78" spans="1:12" x14ac:dyDescent="0.3">
      <c r="A78" s="6">
        <v>70005</v>
      </c>
      <c r="B78" t="s">
        <v>44</v>
      </c>
      <c r="C78" t="s">
        <v>23</v>
      </c>
      <c r="E78" s="4">
        <v>1.83</v>
      </c>
      <c r="F78">
        <f t="shared" si="2"/>
        <v>1.83E-3</v>
      </c>
      <c r="G78" s="4">
        <f t="shared" si="3"/>
        <v>1830</v>
      </c>
      <c r="I78" s="4">
        <f t="shared" si="5"/>
        <v>2982.8999999999996</v>
      </c>
      <c r="J78" s="4"/>
      <c r="K78" s="5">
        <f t="shared" si="6"/>
        <v>6.6112716763005785E-2</v>
      </c>
      <c r="L78">
        <f t="shared" si="7"/>
        <v>1.0985089533506567E-2</v>
      </c>
    </row>
    <row r="79" spans="1:12" x14ac:dyDescent="0.3">
      <c r="A79" s="6">
        <v>70006</v>
      </c>
      <c r="B79" t="s">
        <v>44</v>
      </c>
      <c r="C79" t="s">
        <v>23</v>
      </c>
      <c r="E79" s="4">
        <v>1.85</v>
      </c>
      <c r="F79">
        <f t="shared" si="2"/>
        <v>1.8500000000000001E-3</v>
      </c>
      <c r="G79" s="4">
        <f t="shared" si="3"/>
        <v>1850</v>
      </c>
      <c r="I79" s="4">
        <f t="shared" si="5"/>
        <v>3015.5</v>
      </c>
      <c r="J79" s="4"/>
      <c r="K79" s="5">
        <f t="shared" si="6"/>
        <v>6.6835260115606934E-2</v>
      </c>
      <c r="L79">
        <f t="shared" si="7"/>
        <v>1.1105145156823577E-2</v>
      </c>
    </row>
    <row r="80" spans="1:12" x14ac:dyDescent="0.3">
      <c r="A80" s="6">
        <v>70007</v>
      </c>
      <c r="B80" t="s">
        <v>44</v>
      </c>
      <c r="C80" t="s">
        <v>23</v>
      </c>
      <c r="E80" s="4">
        <v>1.8</v>
      </c>
      <c r="F80">
        <f t="shared" si="2"/>
        <v>1.8E-3</v>
      </c>
      <c r="G80" s="4">
        <f t="shared" si="3"/>
        <v>1800</v>
      </c>
      <c r="I80" s="4">
        <f t="shared" si="5"/>
        <v>2934</v>
      </c>
      <c r="J80" s="4"/>
      <c r="K80" s="5">
        <f t="shared" si="6"/>
        <v>6.5028901734104055E-2</v>
      </c>
      <c r="L80">
        <f t="shared" si="7"/>
        <v>1.080500609853105E-2</v>
      </c>
    </row>
    <row r="81" spans="1:13" x14ac:dyDescent="0.3">
      <c r="A81" s="6">
        <v>70008</v>
      </c>
      <c r="B81" t="s">
        <v>44</v>
      </c>
      <c r="C81" t="s">
        <v>23</v>
      </c>
      <c r="E81" s="4">
        <v>2.0699999999999998</v>
      </c>
      <c r="F81">
        <f t="shared" si="2"/>
        <v>2.0699999999999998E-3</v>
      </c>
      <c r="G81" s="4">
        <f t="shared" si="3"/>
        <v>2070</v>
      </c>
      <c r="I81" s="4">
        <f t="shared" si="5"/>
        <v>3374.1</v>
      </c>
      <c r="J81" s="4"/>
      <c r="K81" s="5">
        <f t="shared" si="6"/>
        <v>7.4783236994219654E-2</v>
      </c>
      <c r="L81">
        <f t="shared" si="7"/>
        <v>1.2425757013310706E-2</v>
      </c>
    </row>
    <row r="82" spans="1:13" x14ac:dyDescent="0.3">
      <c r="A82" s="6">
        <v>70009</v>
      </c>
      <c r="B82" t="s">
        <v>44</v>
      </c>
      <c r="C82" t="s">
        <v>23</v>
      </c>
      <c r="E82" s="4">
        <v>1.75</v>
      </c>
      <c r="F82">
        <f t="shared" si="2"/>
        <v>1.75E-3</v>
      </c>
      <c r="G82" s="4">
        <f t="shared" si="3"/>
        <v>1750</v>
      </c>
      <c r="I82" s="4">
        <f t="shared" si="5"/>
        <v>2852.5</v>
      </c>
      <c r="J82" s="4"/>
      <c r="K82" s="5">
        <f t="shared" si="6"/>
        <v>6.3222543352601163E-2</v>
      </c>
      <c r="L82">
        <f t="shared" si="7"/>
        <v>1.050486704023852E-2</v>
      </c>
    </row>
    <row r="83" spans="1:13" x14ac:dyDescent="0.3">
      <c r="A83" s="6">
        <v>70012</v>
      </c>
      <c r="E83" s="4">
        <v>1.77</v>
      </c>
      <c r="F83">
        <f t="shared" si="2"/>
        <v>1.7700000000000001E-3</v>
      </c>
      <c r="G83" s="4">
        <f t="shared" si="3"/>
        <v>1770</v>
      </c>
      <c r="I83" s="4">
        <f t="shared" si="5"/>
        <v>2885.1</v>
      </c>
      <c r="J83" s="4"/>
      <c r="K83" s="5">
        <f t="shared" si="6"/>
        <v>6.3945086705202311E-2</v>
      </c>
      <c r="L83">
        <f t="shared" si="7"/>
        <v>1.0624922663555532E-2</v>
      </c>
    </row>
    <row r="84" spans="1:13" x14ac:dyDescent="0.3">
      <c r="A84" s="6">
        <v>73001</v>
      </c>
      <c r="B84" t="s">
        <v>44</v>
      </c>
      <c r="C84" t="s">
        <v>24</v>
      </c>
      <c r="E84" s="4">
        <v>1.73</v>
      </c>
      <c r="F84">
        <f t="shared" si="2"/>
        <v>1.73E-3</v>
      </c>
      <c r="G84" s="4">
        <f t="shared" si="3"/>
        <v>1730</v>
      </c>
      <c r="I84" s="4">
        <f t="shared" si="5"/>
        <v>2819.8999999999996</v>
      </c>
      <c r="J84" s="4"/>
      <c r="K84" s="5">
        <f t="shared" si="6"/>
        <v>6.25E-2</v>
      </c>
      <c r="L84">
        <f t="shared" si="7"/>
        <v>1.0384811416921508E-2</v>
      </c>
    </row>
    <row r="85" spans="1:13" x14ac:dyDescent="0.3">
      <c r="A85" s="6">
        <v>73002</v>
      </c>
      <c r="B85" t="s">
        <v>44</v>
      </c>
      <c r="C85" t="s">
        <v>24</v>
      </c>
      <c r="E85" s="4">
        <v>1.6</v>
      </c>
      <c r="F85">
        <f t="shared" si="2"/>
        <v>1.6000000000000001E-3</v>
      </c>
      <c r="G85" s="4">
        <f t="shared" si="3"/>
        <v>1600</v>
      </c>
      <c r="I85" s="4">
        <f t="shared" si="5"/>
        <v>2608</v>
      </c>
      <c r="J85" s="4"/>
      <c r="K85" s="5">
        <f t="shared" si="6"/>
        <v>5.7803468208092491E-2</v>
      </c>
      <c r="L85">
        <f t="shared" si="7"/>
        <v>9.6044498653609332E-3</v>
      </c>
    </row>
    <row r="86" spans="1:13" x14ac:dyDescent="0.3">
      <c r="A86" s="6">
        <v>74001</v>
      </c>
      <c r="B86" t="s">
        <v>44</v>
      </c>
      <c r="C86" t="s">
        <v>25</v>
      </c>
      <c r="E86" s="4">
        <v>2.29</v>
      </c>
      <c r="F86">
        <f t="shared" si="2"/>
        <v>2.2899999999999999E-3</v>
      </c>
      <c r="G86" s="4">
        <f t="shared" si="3"/>
        <v>2290</v>
      </c>
      <c r="I86" s="4">
        <f t="shared" si="5"/>
        <v>3732.7</v>
      </c>
      <c r="J86" s="4"/>
      <c r="K86" s="5">
        <f t="shared" si="6"/>
        <v>8.2731213872832374E-2</v>
      </c>
      <c r="L86">
        <f t="shared" si="7"/>
        <v>1.3746368869797835E-2</v>
      </c>
    </row>
    <row r="87" spans="1:13" x14ac:dyDescent="0.3">
      <c r="A87" s="6">
        <v>74002</v>
      </c>
      <c r="B87" t="s">
        <v>44</v>
      </c>
      <c r="C87" t="s">
        <v>25</v>
      </c>
      <c r="E87" s="4">
        <v>2.04</v>
      </c>
      <c r="F87">
        <f t="shared" si="2"/>
        <v>2.0400000000000001E-3</v>
      </c>
      <c r="G87" s="4">
        <f t="shared" si="3"/>
        <v>2040.0000000000002</v>
      </c>
      <c r="I87" s="4">
        <f t="shared" si="5"/>
        <v>3325.2000000000003</v>
      </c>
      <c r="J87" s="4"/>
      <c r="K87" s="5">
        <f t="shared" si="6"/>
        <v>7.3699421965317938E-2</v>
      </c>
      <c r="L87">
        <f t="shared" si="7"/>
        <v>1.2245673578335193E-2</v>
      </c>
    </row>
    <row r="88" spans="1:13" x14ac:dyDescent="0.3">
      <c r="A88" s="6">
        <v>76001</v>
      </c>
      <c r="B88" t="s">
        <v>44</v>
      </c>
      <c r="C88" t="s">
        <v>39</v>
      </c>
      <c r="E88" s="4">
        <v>1.57</v>
      </c>
      <c r="F88">
        <f t="shared" si="2"/>
        <v>1.57E-3</v>
      </c>
      <c r="G88" s="4">
        <f t="shared" si="3"/>
        <v>1570</v>
      </c>
      <c r="I88" s="4">
        <f t="shared" si="5"/>
        <v>2559.1</v>
      </c>
      <c r="J88" s="4"/>
      <c r="K88" s="5">
        <f t="shared" si="6"/>
        <v>5.6719653179190754E-2</v>
      </c>
      <c r="L88">
        <f t="shared" si="7"/>
        <v>9.4243664303854148E-3</v>
      </c>
    </row>
    <row r="89" spans="1:13" x14ac:dyDescent="0.3">
      <c r="A89" s="6">
        <v>79001</v>
      </c>
      <c r="B89" t="s">
        <v>44</v>
      </c>
      <c r="C89" t="s">
        <v>26</v>
      </c>
      <c r="E89" s="4">
        <v>1.74</v>
      </c>
      <c r="F89">
        <f t="shared" si="2"/>
        <v>1.74E-3</v>
      </c>
      <c r="G89" s="4">
        <f t="shared" si="3"/>
        <v>1740</v>
      </c>
      <c r="I89" s="4">
        <f t="shared" si="5"/>
        <v>2836.2</v>
      </c>
      <c r="J89" s="4"/>
      <c r="K89" s="5">
        <f t="shared" si="6"/>
        <v>6.2861271676300581E-2</v>
      </c>
      <c r="L89">
        <f t="shared" si="7"/>
        <v>1.0444839228580015E-2</v>
      </c>
    </row>
    <row r="90" spans="1:13" x14ac:dyDescent="0.3">
      <c r="A90" s="6">
        <v>79002</v>
      </c>
      <c r="B90" t="s">
        <v>44</v>
      </c>
      <c r="C90" t="s">
        <v>26</v>
      </c>
      <c r="E90" s="4">
        <v>1.67</v>
      </c>
      <c r="F90">
        <f t="shared" si="2"/>
        <v>1.6699999999999998E-3</v>
      </c>
      <c r="G90" s="4">
        <f t="shared" si="3"/>
        <v>1669.9999999999998</v>
      </c>
      <c r="I90" s="4">
        <f t="shared" si="5"/>
        <v>2722.0999999999995</v>
      </c>
      <c r="J90" s="4"/>
      <c r="K90" s="5">
        <f t="shared" si="6"/>
        <v>6.0332369942196526E-2</v>
      </c>
      <c r="L90">
        <f t="shared" si="7"/>
        <v>1.0024644546970472E-2</v>
      </c>
    </row>
    <row r="91" spans="1:13" x14ac:dyDescent="0.3">
      <c r="A91" s="3"/>
      <c r="E91" s="4"/>
      <c r="G91" s="4"/>
      <c r="I91" s="4"/>
      <c r="J91" s="4"/>
      <c r="K91" s="5"/>
    </row>
    <row r="92" spans="1:13" x14ac:dyDescent="0.3">
      <c r="A92" s="3" t="s">
        <v>29</v>
      </c>
      <c r="E92" s="4">
        <f>MAX(E41:E90)</f>
        <v>2.29</v>
      </c>
      <c r="F92">
        <f t="shared" si="2"/>
        <v>2.2899999999999999E-3</v>
      </c>
      <c r="G92" s="4">
        <f t="shared" si="3"/>
        <v>2290</v>
      </c>
      <c r="I92" s="4">
        <f>G92*$G$21</f>
        <v>3732.7</v>
      </c>
      <c r="J92" s="4"/>
      <c r="K92" s="5">
        <f>G92*$E$34</f>
        <v>8.2731213872832374E-2</v>
      </c>
      <c r="L92">
        <f>K92/$I$21</f>
        <v>1.3746368869797835E-2</v>
      </c>
    </row>
    <row r="93" spans="1:13" x14ac:dyDescent="0.3">
      <c r="A93" s="3" t="s">
        <v>27</v>
      </c>
      <c r="E93" s="4">
        <f>MIN(E41:E90)</f>
        <v>1.3</v>
      </c>
      <c r="F93">
        <f t="shared" si="2"/>
        <v>1.2999999999999999E-3</v>
      </c>
      <c r="G93" s="4">
        <f t="shared" si="3"/>
        <v>1300</v>
      </c>
      <c r="I93" s="4">
        <f>G93*$G$21</f>
        <v>2119</v>
      </c>
      <c r="J93" s="4"/>
      <c r="K93" s="5">
        <f>G93*$E$34</f>
        <v>4.6965317919075149E-2</v>
      </c>
      <c r="L93">
        <f>K93/$I$21</f>
        <v>7.8036155156057585E-3</v>
      </c>
    </row>
    <row r="94" spans="1:13" x14ac:dyDescent="0.3">
      <c r="A94" s="3" t="s">
        <v>28</v>
      </c>
      <c r="E94" s="11">
        <f>AVERAGE(E41:E90)</f>
        <v>1.7195999999999996</v>
      </c>
      <c r="F94">
        <f t="shared" si="2"/>
        <v>1.7195999999999995E-3</v>
      </c>
      <c r="G94" s="4">
        <f t="shared" si="3"/>
        <v>1719.5999999999995</v>
      </c>
      <c r="H94" s="3"/>
      <c r="I94" s="9">
        <f>G94*$G$21</f>
        <v>2802.947999999999</v>
      </c>
      <c r="J94" s="19" t="s">
        <v>73</v>
      </c>
      <c r="K94" s="5">
        <f>G94*$E$34</f>
        <v>6.2124277456647385E-2</v>
      </c>
      <c r="L94">
        <f>K94/$I$21</f>
        <v>1.0322382492796659E-2</v>
      </c>
      <c r="M94" s="12" t="s">
        <v>80</v>
      </c>
    </row>
    <row r="95" spans="1:13" x14ac:dyDescent="0.3">
      <c r="A95" s="3"/>
      <c r="E95" s="4"/>
      <c r="G95" s="4"/>
      <c r="I95" s="4"/>
      <c r="J95" s="20"/>
      <c r="K95" s="5"/>
      <c r="M95" s="12"/>
    </row>
    <row r="96" spans="1:13" x14ac:dyDescent="0.3">
      <c r="A96" s="3" t="s">
        <v>94</v>
      </c>
      <c r="E96" s="4"/>
      <c r="G96" s="4"/>
      <c r="I96" s="4"/>
      <c r="J96" s="20"/>
      <c r="K96" s="5"/>
      <c r="M96" s="12"/>
    </row>
    <row r="97" spans="1:15" x14ac:dyDescent="0.3">
      <c r="A97" s="6" t="s">
        <v>46</v>
      </c>
      <c r="E97" s="4">
        <v>1</v>
      </c>
      <c r="F97">
        <f t="shared" si="2"/>
        <v>1E-3</v>
      </c>
      <c r="G97" s="4">
        <f t="shared" si="3"/>
        <v>1000</v>
      </c>
      <c r="H97" s="3" t="s">
        <v>69</v>
      </c>
      <c r="I97" s="4">
        <f>G97*$E$21</f>
        <v>1630</v>
      </c>
      <c r="J97" s="19" t="s">
        <v>73</v>
      </c>
      <c r="K97" s="5">
        <f>G97*$E$34</f>
        <v>3.6127167630057806E-2</v>
      </c>
      <c r="L97">
        <f>K97/$I$21</f>
        <v>6.0027811658505828E-3</v>
      </c>
      <c r="M97" s="12" t="s">
        <v>80</v>
      </c>
    </row>
    <row r="98" spans="1:15" x14ac:dyDescent="0.3">
      <c r="A98" s="3"/>
    </row>
    <row r="99" spans="1:15" ht="15.6" x14ac:dyDescent="0.3">
      <c r="A99" s="18" t="s">
        <v>118</v>
      </c>
    </row>
    <row r="100" spans="1:15" x14ac:dyDescent="0.3">
      <c r="A100" s="3"/>
      <c r="I100" s="7" t="s">
        <v>202</v>
      </c>
      <c r="J100" s="3" t="s">
        <v>74</v>
      </c>
      <c r="O100" s="12" t="s">
        <v>87</v>
      </c>
    </row>
    <row r="101" spans="1:15" x14ac:dyDescent="0.3">
      <c r="A101" s="3" t="s">
        <v>85</v>
      </c>
      <c r="E101" s="7" t="s">
        <v>61</v>
      </c>
      <c r="F101" s="7" t="s">
        <v>31</v>
      </c>
      <c r="G101" s="12" t="s">
        <v>78</v>
      </c>
      <c r="H101" s="12" t="s">
        <v>77</v>
      </c>
      <c r="J101" s="7" t="s">
        <v>88</v>
      </c>
      <c r="K101" s="12"/>
      <c r="L101" s="12" t="s">
        <v>110</v>
      </c>
      <c r="O101" s="12" t="s">
        <v>66</v>
      </c>
    </row>
    <row r="102" spans="1:15" x14ac:dyDescent="0.3">
      <c r="A102" s="6" t="s">
        <v>4</v>
      </c>
      <c r="C102" t="s">
        <v>36</v>
      </c>
      <c r="E102" s="4">
        <v>32.200000000000003</v>
      </c>
      <c r="F102" s="4">
        <v>4.67</v>
      </c>
      <c r="G102">
        <f>E102*1000</f>
        <v>32200.000000000004</v>
      </c>
      <c r="H102">
        <f>G102</f>
        <v>32200.000000000004</v>
      </c>
      <c r="I102" s="26">
        <f>E102/$E$109</f>
        <v>0.31818181818181818</v>
      </c>
      <c r="J102" s="4">
        <f>H102/$I$94</f>
        <v>11.487904877293484</v>
      </c>
      <c r="K102" s="12" t="s">
        <v>56</v>
      </c>
      <c r="L102" s="4">
        <f>F102/($L$94*12)</f>
        <v>37.701244546812866</v>
      </c>
      <c r="M102" s="12" t="s">
        <v>72</v>
      </c>
      <c r="N102" s="4"/>
      <c r="O102" s="4">
        <f>J102/(L102/$E$32)</f>
        <v>0.9997011581625822</v>
      </c>
    </row>
    <row r="103" spans="1:15" x14ac:dyDescent="0.3">
      <c r="A103" s="6" t="s">
        <v>5</v>
      </c>
      <c r="C103" t="s">
        <v>36</v>
      </c>
      <c r="E103" s="4">
        <v>32.4</v>
      </c>
      <c r="F103" s="4">
        <v>4.7</v>
      </c>
      <c r="G103">
        <f t="shared" ref="G103:G113" si="8">E103*1000</f>
        <v>32400</v>
      </c>
      <c r="H103">
        <f t="shared" ref="H103:H113" si="9">G103</f>
        <v>32400</v>
      </c>
      <c r="I103" s="26">
        <f t="shared" ref="I103:I113" si="10">E103/$E$109</f>
        <v>0.3201581027667984</v>
      </c>
      <c r="J103" s="4">
        <f>H103/$I$94</f>
        <v>11.5592583237363</v>
      </c>
      <c r="K103" s="12" t="s">
        <v>56</v>
      </c>
      <c r="L103" s="4">
        <f>F103/($L$94*12)</f>
        <v>37.943436695935866</v>
      </c>
      <c r="M103" s="12" t="s">
        <v>72</v>
      </c>
      <c r="N103" s="4"/>
      <c r="O103" s="4">
        <f t="shared" ref="O103:O113" si="11">J103/(L103/$E$32)</f>
        <v>0.99948977692126295</v>
      </c>
    </row>
    <row r="104" spans="1:15" x14ac:dyDescent="0.3">
      <c r="A104" s="6" t="s">
        <v>10</v>
      </c>
      <c r="B104" s="6"/>
      <c r="C104" t="s">
        <v>37</v>
      </c>
      <c r="E104" s="4">
        <v>101.3</v>
      </c>
      <c r="F104" s="4">
        <v>14.2</v>
      </c>
      <c r="G104">
        <f t="shared" si="8"/>
        <v>101300</v>
      </c>
      <c r="H104">
        <f t="shared" si="9"/>
        <v>101300</v>
      </c>
      <c r="I104" s="26">
        <f t="shared" si="10"/>
        <v>1.00098814229249</v>
      </c>
      <c r="J104" s="4">
        <f>H104/$I$94</f>
        <v>36.140520623286641</v>
      </c>
      <c r="K104" s="12" t="s">
        <v>56</v>
      </c>
      <c r="L104" s="4">
        <f>F104/($L$94*12)</f>
        <v>114.63761725155091</v>
      </c>
      <c r="M104" s="12" t="s">
        <v>72</v>
      </c>
      <c r="N104" s="4"/>
      <c r="O104" s="4">
        <f t="shared" si="11"/>
        <v>1.0343137664970929</v>
      </c>
    </row>
    <row r="105" spans="1:15" x14ac:dyDescent="0.3">
      <c r="A105" s="6" t="s">
        <v>6</v>
      </c>
      <c r="B105" s="6"/>
      <c r="C105" t="s">
        <v>36</v>
      </c>
      <c r="E105" s="4">
        <v>29.6</v>
      </c>
      <c r="F105" s="4">
        <v>4.3</v>
      </c>
      <c r="G105">
        <f t="shared" si="8"/>
        <v>29600</v>
      </c>
      <c r="H105">
        <f t="shared" si="9"/>
        <v>29600</v>
      </c>
      <c r="I105" s="26">
        <f t="shared" si="10"/>
        <v>0.29249011857707513</v>
      </c>
      <c r="J105" s="4">
        <f>H105/$I$94</f>
        <v>10.560310073536867</v>
      </c>
      <c r="K105" s="12" t="s">
        <v>56</v>
      </c>
      <c r="L105" s="4">
        <f>F105/($L$94*12)</f>
        <v>34.714208040962596</v>
      </c>
      <c r="M105" s="12" t="s">
        <v>72</v>
      </c>
      <c r="N105" s="4"/>
      <c r="O105" s="4">
        <f t="shared" si="11"/>
        <v>0.99805496529777582</v>
      </c>
    </row>
    <row r="106" spans="1:15" x14ac:dyDescent="0.3">
      <c r="A106" s="6" t="s">
        <v>45</v>
      </c>
      <c r="B106" s="6"/>
      <c r="C106" t="s">
        <v>37</v>
      </c>
      <c r="E106" s="4">
        <v>101.2</v>
      </c>
      <c r="F106" s="4">
        <v>14.2</v>
      </c>
      <c r="G106">
        <f t="shared" si="8"/>
        <v>101200</v>
      </c>
      <c r="H106">
        <f t="shared" si="9"/>
        <v>101200</v>
      </c>
      <c r="I106" s="26">
        <f t="shared" si="10"/>
        <v>1</v>
      </c>
      <c r="J106" s="4">
        <f>H106/$I$94</f>
        <v>36.104843900065234</v>
      </c>
      <c r="K106" s="12" t="s">
        <v>56</v>
      </c>
      <c r="L106" s="4">
        <f>F106/($L$94*12)</f>
        <v>114.63761725155091</v>
      </c>
      <c r="M106" s="12" t="s">
        <v>72</v>
      </c>
      <c r="N106" s="4"/>
      <c r="O106" s="4">
        <f t="shared" si="11"/>
        <v>1.0332927262537592</v>
      </c>
    </row>
    <row r="107" spans="1:15" x14ac:dyDescent="0.3">
      <c r="A107" s="6"/>
      <c r="B107" s="6"/>
      <c r="E107" s="4"/>
      <c r="F107" s="4"/>
      <c r="I107" s="26"/>
      <c r="J107" s="4"/>
      <c r="L107" s="4"/>
      <c r="N107" s="4"/>
      <c r="O107" s="4"/>
    </row>
    <row r="108" spans="1:15" x14ac:dyDescent="0.3">
      <c r="A108" s="3" t="s">
        <v>84</v>
      </c>
      <c r="E108" s="4"/>
      <c r="F108" s="4"/>
      <c r="I108" s="26"/>
      <c r="J108" s="4"/>
      <c r="L108" s="4"/>
      <c r="N108" s="4"/>
      <c r="O108" s="4"/>
    </row>
    <row r="109" spans="1:15" x14ac:dyDescent="0.3">
      <c r="A109" s="6" t="s">
        <v>30</v>
      </c>
      <c r="C109" t="s">
        <v>37</v>
      </c>
      <c r="E109" s="4">
        <v>101.2</v>
      </c>
      <c r="F109" s="4">
        <v>14.2</v>
      </c>
      <c r="G109">
        <f t="shared" si="8"/>
        <v>101200</v>
      </c>
      <c r="H109">
        <f t="shared" si="9"/>
        <v>101200</v>
      </c>
      <c r="I109" s="26">
        <f t="shared" si="10"/>
        <v>1</v>
      </c>
      <c r="J109" s="4">
        <f>H109/$I$94</f>
        <v>36.104843900065234</v>
      </c>
      <c r="K109" s="12" t="s">
        <v>56</v>
      </c>
      <c r="L109" s="4">
        <f>F109/($L$94*12)</f>
        <v>114.63761725155091</v>
      </c>
      <c r="M109" s="12" t="s">
        <v>72</v>
      </c>
      <c r="N109" s="4"/>
      <c r="O109" s="4">
        <f t="shared" si="11"/>
        <v>1.0332927262537592</v>
      </c>
    </row>
    <row r="110" spans="1:15" x14ac:dyDescent="0.3">
      <c r="A110" s="6" t="s">
        <v>7</v>
      </c>
      <c r="C110" t="s">
        <v>37</v>
      </c>
      <c r="E110" s="4">
        <v>84</v>
      </c>
      <c r="F110" s="4">
        <v>12.17</v>
      </c>
      <c r="G110">
        <f t="shared" si="8"/>
        <v>84000</v>
      </c>
      <c r="H110">
        <f t="shared" si="9"/>
        <v>84000</v>
      </c>
      <c r="I110" s="26">
        <f t="shared" si="10"/>
        <v>0.83003952569169959</v>
      </c>
      <c r="J110" s="4">
        <f>H110/$I$94</f>
        <v>29.968447505982997</v>
      </c>
      <c r="K110" s="12" t="s">
        <v>56</v>
      </c>
      <c r="L110" s="4">
        <f>F110/($L$94*12)</f>
        <v>98.249281827561589</v>
      </c>
      <c r="M110" s="12" t="s">
        <v>72</v>
      </c>
      <c r="N110" s="4"/>
      <c r="O110" s="4">
        <f t="shared" si="11"/>
        <v>1.0007368958492209</v>
      </c>
    </row>
    <row r="111" spans="1:15" x14ac:dyDescent="0.3">
      <c r="A111" s="6" t="s">
        <v>32</v>
      </c>
      <c r="C111" t="s">
        <v>37</v>
      </c>
      <c r="E111" s="4">
        <v>81.400000000000006</v>
      </c>
      <c r="F111" s="4">
        <v>11.74</v>
      </c>
      <c r="G111">
        <f t="shared" si="8"/>
        <v>81400</v>
      </c>
      <c r="H111">
        <f t="shared" si="9"/>
        <v>81400</v>
      </c>
      <c r="I111" s="26">
        <f t="shared" si="10"/>
        <v>0.80434782608695654</v>
      </c>
      <c r="J111" s="4">
        <f>H111/$I$94</f>
        <v>29.040852702226381</v>
      </c>
      <c r="K111" s="12" t="s">
        <v>56</v>
      </c>
      <c r="L111" s="4">
        <f>F111/($L$94*12)</f>
        <v>94.777861023465334</v>
      </c>
      <c r="M111" s="12" t="s">
        <v>72</v>
      </c>
      <c r="N111" s="4"/>
      <c r="O111" s="4">
        <f t="shared" si="11"/>
        <v>1.005281087278211</v>
      </c>
    </row>
    <row r="112" spans="1:15" x14ac:dyDescent="0.3">
      <c r="A112" s="6" t="s">
        <v>33</v>
      </c>
      <c r="C112" t="s">
        <v>37</v>
      </c>
      <c r="E112" s="4">
        <v>74</v>
      </c>
      <c r="F112" s="4">
        <v>10.199999999999999</v>
      </c>
      <c r="G112">
        <f t="shared" si="8"/>
        <v>74000</v>
      </c>
      <c r="H112">
        <f t="shared" si="9"/>
        <v>74000</v>
      </c>
      <c r="I112" s="26">
        <f t="shared" si="10"/>
        <v>0.73122529644268774</v>
      </c>
      <c r="J112" s="4">
        <f>H112/$I$94</f>
        <v>26.400775183842164</v>
      </c>
      <c r="K112" s="12" t="s">
        <v>56</v>
      </c>
      <c r="L112" s="4">
        <f>F112/($L$94*12)</f>
        <v>82.345330701818256</v>
      </c>
      <c r="M112" s="12" t="s">
        <v>72</v>
      </c>
      <c r="N112" s="4"/>
      <c r="O112" s="4">
        <f t="shared" si="11"/>
        <v>1.0518716546030478</v>
      </c>
    </row>
    <row r="113" spans="1:16" x14ac:dyDescent="0.3">
      <c r="A113" s="6" t="s">
        <v>8</v>
      </c>
      <c r="C113" t="s">
        <v>37</v>
      </c>
      <c r="E113" s="4">
        <v>26</v>
      </c>
      <c r="F113" s="4">
        <v>3.65</v>
      </c>
      <c r="G113">
        <f t="shared" si="8"/>
        <v>26000</v>
      </c>
      <c r="H113">
        <f t="shared" si="9"/>
        <v>26000</v>
      </c>
      <c r="I113" s="26">
        <f t="shared" si="10"/>
        <v>0.25691699604743085</v>
      </c>
      <c r="J113" s="4">
        <f>H113/$I$94</f>
        <v>9.2759480375661667</v>
      </c>
      <c r="K113" s="12" t="s">
        <v>56</v>
      </c>
      <c r="L113" s="4">
        <f>F113/($L$94*12)</f>
        <v>29.466711476631041</v>
      </c>
      <c r="M113" s="12" t="s">
        <v>72</v>
      </c>
      <c r="N113" s="4"/>
      <c r="O113" s="4">
        <f t="shared" si="11"/>
        <v>1.0327891995584166</v>
      </c>
    </row>
    <row r="114" spans="1:16" x14ac:dyDescent="0.3">
      <c r="A114" s="6"/>
      <c r="E114" s="4"/>
      <c r="F114" s="4"/>
      <c r="I114" s="4"/>
      <c r="K114" s="4"/>
      <c r="L114" s="12"/>
      <c r="M114" s="4"/>
      <c r="N114" s="12"/>
      <c r="O114" s="4"/>
      <c r="P114" s="4"/>
    </row>
    <row r="115" spans="1:16" x14ac:dyDescent="0.3">
      <c r="A115" s="3" t="s">
        <v>86</v>
      </c>
      <c r="E115" s="7" t="s">
        <v>61</v>
      </c>
      <c r="F115" s="7" t="s">
        <v>31</v>
      </c>
      <c r="H115" s="7" t="s">
        <v>35</v>
      </c>
    </row>
    <row r="116" spans="1:16" x14ac:dyDescent="0.3">
      <c r="A116" s="6" t="s">
        <v>34</v>
      </c>
      <c r="C116" t="s">
        <v>109</v>
      </c>
      <c r="E116" s="4">
        <f>H116*E109</f>
        <v>21.251999999999999</v>
      </c>
      <c r="F116" s="4">
        <f>H116*F109</f>
        <v>2.9819999999999998</v>
      </c>
      <c r="H116">
        <v>0.21</v>
      </c>
      <c r="I116" s="12"/>
    </row>
    <row r="117" spans="1:16" x14ac:dyDescent="0.3">
      <c r="A117" s="6"/>
    </row>
    <row r="118" spans="1:16" x14ac:dyDescent="0.3">
      <c r="C118" s="3"/>
    </row>
    <row r="119" spans="1:16" ht="18" x14ac:dyDescent="0.35">
      <c r="A119" s="14" t="s">
        <v>99</v>
      </c>
    </row>
    <row r="120" spans="1:16" ht="18" x14ac:dyDescent="0.35">
      <c r="A120" s="14"/>
    </row>
    <row r="121" spans="1:16" s="6" customFormat="1" x14ac:dyDescent="0.3">
      <c r="A121" s="17" t="s">
        <v>114</v>
      </c>
    </row>
    <row r="122" spans="1:16" s="6" customFormat="1" x14ac:dyDescent="0.3">
      <c r="A122" s="17" t="s">
        <v>115</v>
      </c>
    </row>
    <row r="123" spans="1:16" x14ac:dyDescent="0.3">
      <c r="A123" s="3"/>
    </row>
    <row r="124" spans="1:16" ht="15.6" x14ac:dyDescent="0.3">
      <c r="A124" s="18" t="s">
        <v>89</v>
      </c>
      <c r="E124" t="s">
        <v>111</v>
      </c>
    </row>
    <row r="125" spans="1:16" x14ac:dyDescent="0.3">
      <c r="A125" t="s">
        <v>50</v>
      </c>
    </row>
    <row r="127" spans="1:16" x14ac:dyDescent="0.3">
      <c r="A127" t="s">
        <v>104</v>
      </c>
    </row>
    <row r="128" spans="1:16" x14ac:dyDescent="0.3">
      <c r="A128" s="6"/>
    </row>
    <row r="129" spans="1:13" x14ac:dyDescent="0.3">
      <c r="A129" s="16" t="s">
        <v>128</v>
      </c>
    </row>
    <row r="130" spans="1:13" x14ac:dyDescent="0.3">
      <c r="A130" s="28" t="s">
        <v>194</v>
      </c>
      <c r="B130" s="7"/>
      <c r="C130" s="7"/>
      <c r="D130" s="7"/>
    </row>
    <row r="131" spans="1:13" x14ac:dyDescent="0.3">
      <c r="A131" s="23" t="s">
        <v>195</v>
      </c>
      <c r="B131" s="7" t="s">
        <v>79</v>
      </c>
      <c r="C131" s="7" t="s">
        <v>69</v>
      </c>
      <c r="D131" s="7"/>
    </row>
    <row r="132" spans="1:13" x14ac:dyDescent="0.3">
      <c r="A132" s="16">
        <v>1</v>
      </c>
      <c r="B132">
        <f>A132/1000</f>
        <v>1E-3</v>
      </c>
      <c r="C132">
        <f>B132*(100*100*100)</f>
        <v>1000</v>
      </c>
      <c r="D132" s="23"/>
    </row>
    <row r="133" spans="1:13" x14ac:dyDescent="0.3">
      <c r="A133" s="28" t="s">
        <v>199</v>
      </c>
      <c r="B133" s="7"/>
      <c r="C133" s="7"/>
      <c r="D133" s="23"/>
    </row>
    <row r="134" spans="1:13" x14ac:dyDescent="0.3">
      <c r="A134" s="23" t="s">
        <v>195</v>
      </c>
      <c r="B134" s="7" t="s">
        <v>79</v>
      </c>
      <c r="C134" s="7" t="s">
        <v>69</v>
      </c>
      <c r="D134" s="23"/>
    </row>
    <row r="135" spans="1:13" x14ac:dyDescent="0.3">
      <c r="A135" s="25">
        <f>E94</f>
        <v>1.7195999999999996</v>
      </c>
      <c r="B135">
        <f>A135/1000</f>
        <v>1.7195999999999995E-3</v>
      </c>
      <c r="C135">
        <f>B135*(100*100*100)</f>
        <v>1719.5999999999995</v>
      </c>
      <c r="D135" s="23"/>
    </row>
    <row r="136" spans="1:13" x14ac:dyDescent="0.3">
      <c r="A136" s="23" t="s">
        <v>198</v>
      </c>
      <c r="B136" s="7"/>
      <c r="C136" s="7"/>
      <c r="D136" s="7"/>
      <c r="E136" s="7" t="s">
        <v>196</v>
      </c>
      <c r="F136" s="7"/>
      <c r="G136" s="3" t="s">
        <v>62</v>
      </c>
      <c r="H136" s="7"/>
      <c r="I136" s="27" t="s">
        <v>200</v>
      </c>
      <c r="J136" s="7"/>
      <c r="K136" s="27" t="s">
        <v>201</v>
      </c>
      <c r="L136" s="7"/>
    </row>
    <row r="137" spans="1:13" x14ac:dyDescent="0.3">
      <c r="A137" s="23" t="s">
        <v>61</v>
      </c>
      <c r="B137" s="7" t="s">
        <v>77</v>
      </c>
      <c r="C137" s="7"/>
      <c r="D137" s="7"/>
      <c r="E137" s="7" t="s">
        <v>53</v>
      </c>
      <c r="F137" s="7"/>
      <c r="G137" s="7" t="s">
        <v>197</v>
      </c>
      <c r="H137" s="7"/>
      <c r="I137" s="7" t="s">
        <v>56</v>
      </c>
      <c r="J137" s="7" t="s">
        <v>72</v>
      </c>
      <c r="K137" s="7" t="s">
        <v>56</v>
      </c>
      <c r="L137" s="7" t="s">
        <v>72</v>
      </c>
    </row>
    <row r="138" spans="1:13" x14ac:dyDescent="0.3">
      <c r="A138" s="24">
        <f>E25</f>
        <v>101.32299999999999</v>
      </c>
      <c r="B138">
        <f>A138*1000</f>
        <v>101323</v>
      </c>
      <c r="E138" s="4">
        <f>G20</f>
        <v>9.81</v>
      </c>
      <c r="F138" s="4"/>
      <c r="G138" s="4">
        <f>B138/E138</f>
        <v>10328.542303771661</v>
      </c>
      <c r="H138" s="4"/>
      <c r="I138" s="4">
        <f>G138/C132</f>
        <v>10.328542303771661</v>
      </c>
      <c r="J138" s="4">
        <f>I138*$E$32</f>
        <v>33.886294731906219</v>
      </c>
      <c r="K138" s="4">
        <f>G138/C135</f>
        <v>6.0063632843519796</v>
      </c>
      <c r="L138" s="4">
        <f>K138*$E$32</f>
        <v>19.705916917833349</v>
      </c>
    </row>
    <row r="139" spans="1:13" x14ac:dyDescent="0.3">
      <c r="A139" s="17"/>
      <c r="E139" s="4"/>
      <c r="F139" s="4"/>
      <c r="G139" s="4"/>
      <c r="H139" s="4" t="s">
        <v>7</v>
      </c>
      <c r="I139" s="4">
        <f>I138*I110</f>
        <v>8.5730983549092841</v>
      </c>
      <c r="J139" s="4">
        <f t="shared" ref="J139:J140" si="12">I139*$E$32</f>
        <v>28.126964006720577</v>
      </c>
      <c r="K139" s="4">
        <f>K138*I110</f>
        <v>4.9855189316755562</v>
      </c>
      <c r="L139" s="4">
        <f t="shared" ref="L139:L140" si="13">K139*$E$32</f>
        <v>16.356689931798432</v>
      </c>
    </row>
    <row r="140" spans="1:13" x14ac:dyDescent="0.3">
      <c r="A140" s="17"/>
      <c r="H140" t="s">
        <v>32</v>
      </c>
      <c r="I140" s="4">
        <f>I138*I111</f>
        <v>8.3077405486859011</v>
      </c>
      <c r="J140" s="4">
        <f t="shared" si="12"/>
        <v>27.256367501750653</v>
      </c>
      <c r="K140" s="4">
        <f>K138*I111</f>
        <v>4.8312052504570273</v>
      </c>
      <c r="L140" s="4">
        <f t="shared" si="13"/>
        <v>15.850411433909434</v>
      </c>
    </row>
    <row r="141" spans="1:13" x14ac:dyDescent="0.3">
      <c r="G141" s="9"/>
      <c r="H141" s="13"/>
      <c r="L141" s="4"/>
      <c r="M141" s="13"/>
    </row>
    <row r="142" spans="1:13" x14ac:dyDescent="0.3">
      <c r="A142" s="16" t="s">
        <v>126</v>
      </c>
      <c r="G142" s="9"/>
      <c r="H142" s="13"/>
      <c r="L142" s="4"/>
      <c r="M142" s="13"/>
    </row>
    <row r="143" spans="1:13" x14ac:dyDescent="0.3">
      <c r="A143" s="16" t="s">
        <v>127</v>
      </c>
      <c r="G143" s="9"/>
      <c r="H143" s="13"/>
      <c r="L143" s="4"/>
      <c r="M143" s="13"/>
    </row>
    <row r="144" spans="1:13" x14ac:dyDescent="0.3">
      <c r="A144" s="16"/>
      <c r="G144" s="9"/>
      <c r="H144" s="13"/>
      <c r="L144" s="4"/>
      <c r="M144" s="13"/>
    </row>
    <row r="145" spans="1:9" x14ac:dyDescent="0.3">
      <c r="A145" s="16" t="s">
        <v>113</v>
      </c>
      <c r="C145" s="3"/>
    </row>
    <row r="147" spans="1:9" ht="15.6" x14ac:dyDescent="0.3">
      <c r="A147" s="18" t="s">
        <v>95</v>
      </c>
      <c r="C147" s="4"/>
    </row>
    <row r="148" spans="1:9" x14ac:dyDescent="0.3">
      <c r="A148" t="s">
        <v>100</v>
      </c>
      <c r="C148" s="2"/>
      <c r="E148" s="5"/>
    </row>
    <row r="149" spans="1:9" x14ac:dyDescent="0.3">
      <c r="C149" s="2"/>
      <c r="E149" s="5"/>
    </row>
    <row r="150" spans="1:9" x14ac:dyDescent="0.3">
      <c r="A150" s="16" t="s">
        <v>129</v>
      </c>
      <c r="C150" s="2"/>
      <c r="E150" s="5"/>
    </row>
    <row r="151" spans="1:9" x14ac:dyDescent="0.3">
      <c r="A151" s="16"/>
      <c r="C151" s="2"/>
      <c r="E151" s="5"/>
    </row>
    <row r="152" spans="1:9" x14ac:dyDescent="0.3">
      <c r="A152" t="s">
        <v>131</v>
      </c>
      <c r="C152" s="2"/>
      <c r="E152" s="5"/>
    </row>
    <row r="154" spans="1:9" x14ac:dyDescent="0.3">
      <c r="A154" s="7" t="s">
        <v>203</v>
      </c>
      <c r="B154" s="7"/>
      <c r="C154" s="7" t="s">
        <v>204</v>
      </c>
      <c r="D154" s="7"/>
      <c r="E154" s="3" t="s">
        <v>62</v>
      </c>
      <c r="G154" s="7" t="s">
        <v>82</v>
      </c>
      <c r="H154" s="7"/>
      <c r="I154" s="4"/>
    </row>
    <row r="155" spans="1:9" x14ac:dyDescent="0.3">
      <c r="A155" s="7" t="s">
        <v>61</v>
      </c>
      <c r="B155" s="7" t="s">
        <v>77</v>
      </c>
      <c r="C155" s="7" t="s">
        <v>53</v>
      </c>
      <c r="D155" s="7"/>
      <c r="E155" s="7" t="s">
        <v>197</v>
      </c>
      <c r="G155" s="7" t="s">
        <v>58</v>
      </c>
      <c r="H155" s="7"/>
      <c r="I155" s="4"/>
    </row>
    <row r="156" spans="1:9" x14ac:dyDescent="0.3">
      <c r="A156" s="4">
        <f>E25</f>
        <v>101.32299999999999</v>
      </c>
      <c r="B156">
        <f>A156*1000</f>
        <v>101323</v>
      </c>
      <c r="C156" s="4">
        <f>$G$21</f>
        <v>1.63</v>
      </c>
      <c r="E156" s="4">
        <f>B156/C156</f>
        <v>62161.349693251541</v>
      </c>
      <c r="G156" s="4">
        <f>E156/$C$135</f>
        <v>36.148726269627566</v>
      </c>
      <c r="H156" s="13" t="s">
        <v>56</v>
      </c>
      <c r="I156" s="4" t="s">
        <v>68</v>
      </c>
    </row>
    <row r="157" spans="1:9" x14ac:dyDescent="0.3">
      <c r="A157" s="4">
        <f>E110</f>
        <v>84</v>
      </c>
      <c r="B157">
        <f>A157*1000</f>
        <v>84000</v>
      </c>
      <c r="C157" s="4">
        <f>$G$21</f>
        <v>1.63</v>
      </c>
      <c r="E157" s="4">
        <f>B157/C157</f>
        <v>51533.742331288347</v>
      </c>
      <c r="G157" s="4">
        <f>E157/$C$135</f>
        <v>29.968447505982997</v>
      </c>
      <c r="H157" s="13" t="s">
        <v>56</v>
      </c>
      <c r="I157" s="4" t="s">
        <v>7</v>
      </c>
    </row>
    <row r="158" spans="1:9" x14ac:dyDescent="0.3">
      <c r="C158" s="4"/>
      <c r="D158" s="13"/>
      <c r="E158" s="5"/>
      <c r="G158" s="2"/>
      <c r="I158" s="4"/>
    </row>
    <row r="159" spans="1:9" x14ac:dyDescent="0.3">
      <c r="A159" s="16" t="s">
        <v>134</v>
      </c>
      <c r="C159" s="2"/>
      <c r="E159" s="5"/>
    </row>
    <row r="160" spans="1:9" x14ac:dyDescent="0.3">
      <c r="A160" s="16"/>
      <c r="C160" s="2"/>
      <c r="E160" s="5"/>
    </row>
    <row r="161" spans="1:9" x14ac:dyDescent="0.3">
      <c r="A161" t="s">
        <v>167</v>
      </c>
      <c r="C161" s="5"/>
      <c r="E161" s="5"/>
      <c r="G161" s="2"/>
      <c r="I161" s="4"/>
    </row>
    <row r="162" spans="1:9" x14ac:dyDescent="0.3">
      <c r="A162" s="16"/>
      <c r="C162" s="5"/>
      <c r="E162" s="5"/>
      <c r="G162" s="2"/>
      <c r="I162" s="4"/>
    </row>
    <row r="163" spans="1:9" x14ac:dyDescent="0.3">
      <c r="C163" s="21" t="s">
        <v>133</v>
      </c>
      <c r="E163" s="5"/>
      <c r="G163" s="2"/>
      <c r="I163" s="4"/>
    </row>
    <row r="164" spans="1:9" x14ac:dyDescent="0.3">
      <c r="C164" s="21" t="s">
        <v>132</v>
      </c>
      <c r="E164" s="5"/>
      <c r="G164" s="2"/>
      <c r="I164" s="4"/>
    </row>
    <row r="165" spans="1:9" x14ac:dyDescent="0.3">
      <c r="C165" s="5"/>
      <c r="E165" s="5"/>
      <c r="G165" s="2"/>
      <c r="I165" s="4"/>
    </row>
    <row r="166" spans="1:9" x14ac:dyDescent="0.3">
      <c r="C166" s="2"/>
    </row>
    <row r="167" spans="1:9" ht="15.6" x14ac:dyDescent="0.3">
      <c r="A167" s="18" t="s">
        <v>96</v>
      </c>
      <c r="C167" s="4"/>
    </row>
    <row r="168" spans="1:9" x14ac:dyDescent="0.3">
      <c r="A168" t="s">
        <v>140</v>
      </c>
      <c r="C168" s="4"/>
    </row>
    <row r="169" spans="1:9" x14ac:dyDescent="0.3">
      <c r="C169" s="4"/>
    </row>
    <row r="170" spans="1:9" x14ac:dyDescent="0.3">
      <c r="A170" t="s">
        <v>135</v>
      </c>
    </row>
    <row r="172" spans="1:9" x14ac:dyDescent="0.3">
      <c r="A172" t="s">
        <v>168</v>
      </c>
    </row>
    <row r="173" spans="1:9" x14ac:dyDescent="0.3">
      <c r="A173" t="s">
        <v>136</v>
      </c>
    </row>
    <row r="174" spans="1:9" x14ac:dyDescent="0.3">
      <c r="A174" t="s">
        <v>137</v>
      </c>
    </row>
    <row r="175" spans="1:9" x14ac:dyDescent="0.3">
      <c r="A175" t="s">
        <v>138</v>
      </c>
    </row>
    <row r="176" spans="1:9" x14ac:dyDescent="0.3">
      <c r="E176" s="7" t="s">
        <v>62</v>
      </c>
      <c r="F176" s="7" t="s">
        <v>178</v>
      </c>
      <c r="G176" s="7" t="s">
        <v>177</v>
      </c>
    </row>
    <row r="177" spans="1:14" x14ac:dyDescent="0.3">
      <c r="E177" s="7" t="s">
        <v>61</v>
      </c>
      <c r="F177" s="7" t="s">
        <v>179</v>
      </c>
      <c r="G177" s="7" t="s">
        <v>180</v>
      </c>
      <c r="H177" s="7" t="s">
        <v>69</v>
      </c>
      <c r="I177" s="7" t="s">
        <v>181</v>
      </c>
      <c r="M177" t="s">
        <v>185</v>
      </c>
    </row>
    <row r="178" spans="1:14" x14ac:dyDescent="0.3">
      <c r="A178" s="6" t="s">
        <v>10</v>
      </c>
      <c r="B178" s="6"/>
      <c r="C178" t="s">
        <v>37</v>
      </c>
      <c r="E178" s="4">
        <v>101.3</v>
      </c>
      <c r="F178">
        <v>100</v>
      </c>
      <c r="G178" s="4">
        <f>E178-$E$183</f>
        <v>80.048000000000002</v>
      </c>
      <c r="H178" s="4">
        <f>((G178/E178)*$E$184)</f>
        <v>0.98823325567620923</v>
      </c>
      <c r="I178" s="4">
        <f>H178*F178</f>
        <v>98.823325567620927</v>
      </c>
      <c r="J178" s="7" t="s">
        <v>182</v>
      </c>
      <c r="K178" s="2">
        <f>I178*$E$36</f>
        <v>217.8659035463771</v>
      </c>
      <c r="L178" s="7" t="s">
        <v>183</v>
      </c>
      <c r="M178" s="4">
        <f>$I$178-I178</f>
        <v>0</v>
      </c>
      <c r="N178" s="7" t="s">
        <v>182</v>
      </c>
    </row>
    <row r="179" spans="1:14" x14ac:dyDescent="0.3">
      <c r="A179" s="6" t="s">
        <v>7</v>
      </c>
      <c r="C179" t="s">
        <v>37</v>
      </c>
      <c r="E179" s="4">
        <v>84</v>
      </c>
      <c r="F179">
        <v>100</v>
      </c>
      <c r="G179" s="4">
        <f t="shared" ref="G179:G180" si="14">E179-$E$183</f>
        <v>62.748000000000005</v>
      </c>
      <c r="H179" s="4">
        <f t="shared" ref="H179:H180" si="15">((G179/E179)*$E$184)</f>
        <v>0.93419820000000009</v>
      </c>
      <c r="I179" s="4">
        <f t="shared" ref="I179:I180" si="16">H179*F179</f>
        <v>93.419820000000016</v>
      </c>
      <c r="J179" s="7" t="s">
        <v>182</v>
      </c>
      <c r="K179" s="2">
        <f t="shared" ref="K179:K180" si="17">I179*$E$36</f>
        <v>205.95333517200004</v>
      </c>
      <c r="L179" s="7" t="s">
        <v>183</v>
      </c>
      <c r="M179" s="4">
        <f t="shared" ref="M179:M180" si="18">$I$178-I179</f>
        <v>5.4035055676209112</v>
      </c>
      <c r="N179" s="7" t="s">
        <v>182</v>
      </c>
    </row>
    <row r="180" spans="1:14" x14ac:dyDescent="0.3">
      <c r="A180" s="6" t="s">
        <v>32</v>
      </c>
      <c r="C180" t="s">
        <v>37</v>
      </c>
      <c r="E180" s="4">
        <v>81.400000000000006</v>
      </c>
      <c r="F180">
        <v>100</v>
      </c>
      <c r="G180" s="4">
        <f t="shared" si="14"/>
        <v>60.14800000000001</v>
      </c>
      <c r="H180" s="4">
        <f t="shared" si="15"/>
        <v>0.92409200000000014</v>
      </c>
      <c r="I180" s="4">
        <f t="shared" si="16"/>
        <v>92.409200000000013</v>
      </c>
      <c r="J180" s="7" t="s">
        <v>182</v>
      </c>
      <c r="K180" s="2">
        <f t="shared" si="17"/>
        <v>203.72532232000003</v>
      </c>
      <c r="L180" s="7" t="s">
        <v>183</v>
      </c>
      <c r="M180" s="4">
        <f t="shared" si="18"/>
        <v>6.4141255676209141</v>
      </c>
      <c r="N180" s="7" t="s">
        <v>182</v>
      </c>
    </row>
    <row r="181" spans="1:14" x14ac:dyDescent="0.3">
      <c r="A181" s="6"/>
      <c r="E181" s="4"/>
    </row>
    <row r="182" spans="1:14" x14ac:dyDescent="0.3">
      <c r="A182" s="6" t="s">
        <v>5</v>
      </c>
      <c r="C182" t="s">
        <v>36</v>
      </c>
      <c r="E182" s="4">
        <v>32.4</v>
      </c>
    </row>
    <row r="183" spans="1:14" x14ac:dyDescent="0.3">
      <c r="A183" s="6" t="s">
        <v>34</v>
      </c>
      <c r="C183" t="s">
        <v>109</v>
      </c>
      <c r="E183" s="4">
        <f>E116</f>
        <v>21.251999999999999</v>
      </c>
    </row>
    <row r="184" spans="1:14" x14ac:dyDescent="0.3">
      <c r="A184" t="s">
        <v>123</v>
      </c>
      <c r="C184" t="s">
        <v>124</v>
      </c>
      <c r="E184" s="4">
        <f>E27</f>
        <v>1.2505999999999999</v>
      </c>
      <c r="F184" s="7" t="s">
        <v>69</v>
      </c>
    </row>
    <row r="185" spans="1:14" x14ac:dyDescent="0.3">
      <c r="A185" s="6"/>
      <c r="E185" s="4"/>
    </row>
    <row r="186" spans="1:14" x14ac:dyDescent="0.3">
      <c r="A186" s="16" t="s">
        <v>141</v>
      </c>
    </row>
    <row r="187" spans="1:14" x14ac:dyDescent="0.3">
      <c r="A187" t="s">
        <v>142</v>
      </c>
    </row>
    <row r="189" spans="1:14" ht="15.6" x14ac:dyDescent="0.3">
      <c r="A189" s="18" t="s">
        <v>97</v>
      </c>
    </row>
    <row r="190" spans="1:14" x14ac:dyDescent="0.3">
      <c r="A190" t="s">
        <v>139</v>
      </c>
    </row>
    <row r="191" spans="1:14" x14ac:dyDescent="0.3">
      <c r="A191" t="s">
        <v>94</v>
      </c>
    </row>
    <row r="196" spans="1:7" x14ac:dyDescent="0.3">
      <c r="E196" s="7" t="s">
        <v>62</v>
      </c>
      <c r="F196" s="7" t="s">
        <v>172</v>
      </c>
      <c r="G196" s="7"/>
    </row>
    <row r="197" spans="1:7" x14ac:dyDescent="0.3">
      <c r="E197" s="7" t="s">
        <v>61</v>
      </c>
      <c r="F197" s="7" t="s">
        <v>173</v>
      </c>
      <c r="G197" s="7" t="s">
        <v>176</v>
      </c>
    </row>
    <row r="198" spans="1:7" x14ac:dyDescent="0.3">
      <c r="A198" s="6" t="s">
        <v>10</v>
      </c>
      <c r="B198" s="6"/>
      <c r="C198" t="s">
        <v>37</v>
      </c>
      <c r="E198" s="4">
        <v>101.3</v>
      </c>
      <c r="F198">
        <v>140</v>
      </c>
      <c r="G198" s="4">
        <f>F198/60</f>
        <v>2.3333333333333335</v>
      </c>
    </row>
    <row r="199" spans="1:7" x14ac:dyDescent="0.3">
      <c r="A199" s="6" t="s">
        <v>7</v>
      </c>
      <c r="C199" t="s">
        <v>37</v>
      </c>
      <c r="E199" s="4">
        <v>84</v>
      </c>
      <c r="F199" s="22">
        <f>(2.0349 * E199) - 65.93</f>
        <v>105.0016</v>
      </c>
      <c r="G199" s="4">
        <f t="shared" ref="G199:G201" si="19">F199/60</f>
        <v>1.7500266666666666</v>
      </c>
    </row>
    <row r="200" spans="1:7" x14ac:dyDescent="0.3">
      <c r="A200" s="6" t="s">
        <v>32</v>
      </c>
      <c r="C200" t="s">
        <v>37</v>
      </c>
      <c r="E200" s="4">
        <v>81.400000000000006</v>
      </c>
      <c r="F200" s="22">
        <f>(2.0349 * E200) - 65.93</f>
        <v>99.710859999999997</v>
      </c>
      <c r="G200" s="4">
        <f t="shared" si="19"/>
        <v>1.6618476666666666</v>
      </c>
    </row>
    <row r="201" spans="1:7" x14ac:dyDescent="0.3">
      <c r="A201" s="6" t="s">
        <v>5</v>
      </c>
      <c r="C201" t="s">
        <v>36</v>
      </c>
      <c r="E201" s="4">
        <v>32.4</v>
      </c>
      <c r="F201">
        <v>0</v>
      </c>
      <c r="G201" s="4">
        <f t="shared" si="19"/>
        <v>0</v>
      </c>
    </row>
    <row r="202" spans="1:7" x14ac:dyDescent="0.3">
      <c r="A202" s="16"/>
    </row>
    <row r="203" spans="1:7" x14ac:dyDescent="0.3">
      <c r="A203" s="16" t="s">
        <v>175</v>
      </c>
    </row>
    <row r="204" spans="1:7" x14ac:dyDescent="0.3">
      <c r="A204" s="16"/>
    </row>
    <row r="205" spans="1:7" x14ac:dyDescent="0.3">
      <c r="A205" t="s">
        <v>169</v>
      </c>
    </row>
    <row r="207" spans="1:7" ht="15.6" x14ac:dyDescent="0.3">
      <c r="A207" s="18" t="s">
        <v>108</v>
      </c>
    </row>
    <row r="208" spans="1:7" x14ac:dyDescent="0.3">
      <c r="A208" t="s">
        <v>59</v>
      </c>
    </row>
    <row r="210" spans="1:5" x14ac:dyDescent="0.3">
      <c r="A210" t="s">
        <v>170</v>
      </c>
    </row>
    <row r="211" spans="1:5" x14ac:dyDescent="0.3">
      <c r="A211" s="16"/>
      <c r="B211" s="7" t="s">
        <v>61</v>
      </c>
      <c r="C211" s="7" t="s">
        <v>153</v>
      </c>
      <c r="E211" s="7"/>
    </row>
    <row r="212" spans="1:5" x14ac:dyDescent="0.3">
      <c r="A212" s="16"/>
      <c r="B212" s="4">
        <v>3.45</v>
      </c>
      <c r="C212" s="4">
        <v>26.4</v>
      </c>
      <c r="E212" s="4"/>
    </row>
    <row r="213" spans="1:5" x14ac:dyDescent="0.3">
      <c r="A213" s="16"/>
      <c r="B213" s="4">
        <v>6.9</v>
      </c>
      <c r="C213" s="4">
        <v>38.700000000000003</v>
      </c>
      <c r="E213" s="4"/>
    </row>
    <row r="214" spans="1:5" x14ac:dyDescent="0.3">
      <c r="A214" s="16"/>
      <c r="B214" s="4">
        <v>13.79</v>
      </c>
      <c r="C214" s="4">
        <v>52.2</v>
      </c>
      <c r="E214" s="4"/>
    </row>
    <row r="215" spans="1:5" x14ac:dyDescent="0.3">
      <c r="A215" s="16"/>
      <c r="B215" s="4">
        <v>20.69</v>
      </c>
      <c r="C215" s="4">
        <v>60.8</v>
      </c>
      <c r="E215" s="4"/>
    </row>
    <row r="216" spans="1:5" x14ac:dyDescent="0.3">
      <c r="A216" s="16"/>
      <c r="B216" s="4">
        <v>27.58</v>
      </c>
      <c r="C216" s="4">
        <v>67.2</v>
      </c>
      <c r="E216" s="4"/>
    </row>
    <row r="217" spans="1:5" x14ac:dyDescent="0.3">
      <c r="A217" s="16"/>
      <c r="B217" s="4">
        <v>34.479999999999997</v>
      </c>
      <c r="C217" s="4">
        <v>72.3</v>
      </c>
      <c r="E217" s="4"/>
    </row>
    <row r="218" spans="1:5" x14ac:dyDescent="0.3">
      <c r="A218" s="16"/>
      <c r="B218" s="4">
        <v>41.37</v>
      </c>
      <c r="C218" s="4">
        <v>76.7</v>
      </c>
      <c r="E218" s="4"/>
    </row>
    <row r="219" spans="1:5" x14ac:dyDescent="0.3">
      <c r="A219" s="16"/>
      <c r="B219" s="4">
        <v>48.27</v>
      </c>
      <c r="C219" s="4">
        <v>80.400000000000006</v>
      </c>
      <c r="E219" s="4"/>
    </row>
    <row r="220" spans="1:5" x14ac:dyDescent="0.3">
      <c r="A220" s="16"/>
      <c r="B220" s="4">
        <v>55.27</v>
      </c>
      <c r="C220" s="4">
        <v>83.8</v>
      </c>
      <c r="E220" s="4"/>
    </row>
    <row r="221" spans="1:5" x14ac:dyDescent="0.3">
      <c r="A221" s="16"/>
      <c r="B221" s="4">
        <v>62.06</v>
      </c>
      <c r="C221" s="4">
        <v>86.8</v>
      </c>
      <c r="E221" s="4"/>
    </row>
    <row r="222" spans="1:5" x14ac:dyDescent="0.3">
      <c r="A222" s="16"/>
      <c r="B222" s="4">
        <v>68.95</v>
      </c>
      <c r="C222" s="4">
        <v>89.6</v>
      </c>
      <c r="E222" s="4"/>
    </row>
    <row r="223" spans="1:5" x14ac:dyDescent="0.3">
      <c r="A223" s="16"/>
      <c r="B223" s="4">
        <v>76.849999999999994</v>
      </c>
      <c r="C223" s="4">
        <v>92.1</v>
      </c>
      <c r="E223" s="4"/>
    </row>
    <row r="224" spans="1:5" x14ac:dyDescent="0.3">
      <c r="A224" s="16"/>
      <c r="B224" s="4">
        <v>82.74</v>
      </c>
      <c r="C224" s="4">
        <v>94.4</v>
      </c>
      <c r="E224" s="4"/>
    </row>
    <row r="225" spans="1:8" x14ac:dyDescent="0.3">
      <c r="A225" s="16"/>
      <c r="B225" s="4">
        <v>89.64</v>
      </c>
      <c r="C225" s="4">
        <v>96.6</v>
      </c>
      <c r="E225" s="4"/>
    </row>
    <row r="226" spans="1:8" x14ac:dyDescent="0.3">
      <c r="A226" s="16"/>
      <c r="B226" s="4">
        <v>96.53</v>
      </c>
      <c r="C226" s="4">
        <v>98.7</v>
      </c>
      <c r="E226" s="4"/>
    </row>
    <row r="227" spans="1:8" x14ac:dyDescent="0.3">
      <c r="A227" s="16"/>
      <c r="B227" s="4">
        <v>101.3</v>
      </c>
      <c r="C227" s="4">
        <v>100</v>
      </c>
      <c r="E227" s="4"/>
    </row>
    <row r="228" spans="1:8" x14ac:dyDescent="0.3">
      <c r="A228" s="16"/>
    </row>
    <row r="229" spans="1:8" x14ac:dyDescent="0.3">
      <c r="A229" s="16" t="s">
        <v>157</v>
      </c>
    </row>
    <row r="230" spans="1:8" x14ac:dyDescent="0.3">
      <c r="A230" s="16"/>
      <c r="E230" s="7" t="s">
        <v>62</v>
      </c>
      <c r="F230" s="7" t="s">
        <v>155</v>
      </c>
    </row>
    <row r="231" spans="1:8" x14ac:dyDescent="0.3">
      <c r="A231" s="16"/>
      <c r="E231" s="7" t="s">
        <v>61</v>
      </c>
      <c r="F231" s="7" t="s">
        <v>156</v>
      </c>
    </row>
    <row r="232" spans="1:8" x14ac:dyDescent="0.3">
      <c r="A232" s="6" t="s">
        <v>30</v>
      </c>
      <c r="C232" t="s">
        <v>37</v>
      </c>
      <c r="E232" s="4">
        <v>101.2</v>
      </c>
      <c r="F232" s="4">
        <f>(22.169 * LN(E232)) - 4.4516 +2.1</f>
        <v>100.00486234068225</v>
      </c>
      <c r="H232" t="s">
        <v>159</v>
      </c>
    </row>
    <row r="233" spans="1:8" x14ac:dyDescent="0.3">
      <c r="A233" s="6" t="s">
        <v>7</v>
      </c>
      <c r="C233" t="s">
        <v>37</v>
      </c>
      <c r="E233" s="4">
        <v>84</v>
      </c>
      <c r="F233" s="4">
        <f t="shared" ref="F233:F235" si="20">(22.169 * LN(E233)) - 4.4516 +2.1</f>
        <v>95.875177613557412</v>
      </c>
    </row>
    <row r="234" spans="1:8" x14ac:dyDescent="0.3">
      <c r="A234" s="6" t="s">
        <v>32</v>
      </c>
      <c r="C234" t="s">
        <v>37</v>
      </c>
      <c r="E234" s="4">
        <v>81.400000000000006</v>
      </c>
      <c r="F234" s="4">
        <f t="shared" si="20"/>
        <v>95.17815042732532</v>
      </c>
    </row>
    <row r="235" spans="1:8" x14ac:dyDescent="0.3">
      <c r="A235" s="6" t="s">
        <v>5</v>
      </c>
      <c r="C235" t="s">
        <v>36</v>
      </c>
      <c r="E235" s="4">
        <v>32.4</v>
      </c>
      <c r="F235" s="4">
        <f t="shared" si="20"/>
        <v>74.755694075015143</v>
      </c>
    </row>
    <row r="236" spans="1:8" x14ac:dyDescent="0.3">
      <c r="A236" s="16"/>
    </row>
    <row r="237" spans="1:8" x14ac:dyDescent="0.3">
      <c r="A237" s="3" t="s">
        <v>94</v>
      </c>
    </row>
    <row r="238" spans="1:8" x14ac:dyDescent="0.3">
      <c r="A238" s="6" t="s">
        <v>158</v>
      </c>
      <c r="E238" s="4">
        <f>75.365* LN(F238) -270.45</f>
        <v>1.2783451016052254</v>
      </c>
      <c r="F238">
        <v>36.799999999999997</v>
      </c>
      <c r="G238" s="7" t="s">
        <v>156</v>
      </c>
    </row>
    <row r="239" spans="1:8" x14ac:dyDescent="0.3">
      <c r="A239" s="16"/>
    </row>
    <row r="240" spans="1:8" x14ac:dyDescent="0.3">
      <c r="A240" s="16" t="s">
        <v>160</v>
      </c>
    </row>
    <row r="241" spans="1:12" x14ac:dyDescent="0.3">
      <c r="A241" t="s">
        <v>171</v>
      </c>
    </row>
    <row r="243" spans="1:12" ht="15.6" x14ac:dyDescent="0.3">
      <c r="A243" s="18" t="s">
        <v>101</v>
      </c>
      <c r="B243" s="3"/>
    </row>
    <row r="244" spans="1:12" x14ac:dyDescent="0.3">
      <c r="A244" t="s">
        <v>105</v>
      </c>
    </row>
    <row r="246" spans="1:12" x14ac:dyDescent="0.3">
      <c r="A246" t="s">
        <v>161</v>
      </c>
    </row>
    <row r="247" spans="1:12" x14ac:dyDescent="0.3">
      <c r="A247" s="16" t="s">
        <v>130</v>
      </c>
    </row>
    <row r="249" spans="1:12" x14ac:dyDescent="0.3">
      <c r="C249" s="7" t="s">
        <v>187</v>
      </c>
      <c r="D249" s="7"/>
      <c r="E249" s="7" t="s">
        <v>67</v>
      </c>
      <c r="F249" s="7" t="s">
        <v>188</v>
      </c>
      <c r="H249" s="7" t="s">
        <v>190</v>
      </c>
      <c r="I249" s="7" t="s">
        <v>191</v>
      </c>
      <c r="J249" s="7" t="s">
        <v>192</v>
      </c>
    </row>
    <row r="250" spans="1:12" x14ac:dyDescent="0.3">
      <c r="C250" s="7" t="s">
        <v>56</v>
      </c>
      <c r="D250" s="7"/>
      <c r="E250" s="7" t="s">
        <v>56</v>
      </c>
      <c r="F250" s="7" t="s">
        <v>189</v>
      </c>
      <c r="H250" s="7" t="s">
        <v>56</v>
      </c>
      <c r="I250" s="7" t="s">
        <v>56</v>
      </c>
      <c r="J250" s="7" t="s">
        <v>179</v>
      </c>
      <c r="K250" s="7" t="s">
        <v>182</v>
      </c>
      <c r="L250" s="7" t="s">
        <v>193</v>
      </c>
    </row>
    <row r="251" spans="1:12" x14ac:dyDescent="0.3">
      <c r="A251" t="s">
        <v>186</v>
      </c>
      <c r="C251">
        <v>3</v>
      </c>
      <c r="E251">
        <v>5.5</v>
      </c>
      <c r="F251">
        <v>45</v>
      </c>
      <c r="H251">
        <f>C251+E251</f>
        <v>8.5</v>
      </c>
      <c r="I251" s="4">
        <f>C251+2*(H251*TAN(RADIANS(F251)))</f>
        <v>19.999999999999996</v>
      </c>
      <c r="J251" s="4">
        <f>H251*(C251+TAN(RADIANS(F251)))</f>
        <v>34</v>
      </c>
      <c r="K251" s="22">
        <f>J251*G94</f>
        <v>58466.39999999998</v>
      </c>
      <c r="L251" s="2">
        <f>K251/1000</f>
        <v>58.466399999999979</v>
      </c>
    </row>
    <row r="253" spans="1:12" x14ac:dyDescent="0.3">
      <c r="A253" t="s">
        <v>162</v>
      </c>
    </row>
    <row r="254" spans="1:12" x14ac:dyDescent="0.3">
      <c r="A254" t="s">
        <v>163</v>
      </c>
    </row>
    <row r="255" spans="1:12" x14ac:dyDescent="0.3">
      <c r="A255" s="16" t="s">
        <v>143</v>
      </c>
    </row>
    <row r="257" spans="1:1" x14ac:dyDescent="0.3">
      <c r="A257" s="16" t="s">
        <v>144</v>
      </c>
    </row>
    <row r="259" spans="1:1" ht="18" x14ac:dyDescent="0.35">
      <c r="A259" s="14" t="s">
        <v>116</v>
      </c>
    </row>
    <row r="260" spans="1:1" ht="18" x14ac:dyDescent="0.35">
      <c r="A260" s="14"/>
    </row>
    <row r="261" spans="1:1" x14ac:dyDescent="0.3">
      <c r="A261" t="s">
        <v>164</v>
      </c>
    </row>
    <row r="262" spans="1:1" x14ac:dyDescent="0.3">
      <c r="A262" s="16"/>
    </row>
    <row r="263" spans="1:1" x14ac:dyDescent="0.3">
      <c r="A263" s="16" t="s">
        <v>145</v>
      </c>
    </row>
    <row r="264" spans="1:1" x14ac:dyDescent="0.3">
      <c r="A264" s="16" t="s">
        <v>146</v>
      </c>
    </row>
    <row r="265" spans="1:1" x14ac:dyDescent="0.3">
      <c r="A265" t="s">
        <v>147</v>
      </c>
    </row>
    <row r="266" spans="1:1" x14ac:dyDescent="0.3">
      <c r="A266" t="s">
        <v>148</v>
      </c>
    </row>
    <row r="267" spans="1:1" x14ac:dyDescent="0.3">
      <c r="A267" t="s">
        <v>149</v>
      </c>
    </row>
    <row r="269" spans="1:1" x14ac:dyDescent="0.3">
      <c r="A269" s="16" t="s">
        <v>150</v>
      </c>
    </row>
    <row r="270" spans="1:1" x14ac:dyDescent="0.3">
      <c r="A270" s="16"/>
    </row>
    <row r="271" spans="1:1" x14ac:dyDescent="0.3">
      <c r="A271" t="s">
        <v>165</v>
      </c>
    </row>
    <row r="272" spans="1:1" x14ac:dyDescent="0.3">
      <c r="A272" s="16" t="s">
        <v>151</v>
      </c>
    </row>
    <row r="273" spans="1:2" x14ac:dyDescent="0.3">
      <c r="A273" s="16" t="s">
        <v>152</v>
      </c>
    </row>
    <row r="275" spans="1:2" ht="18" x14ac:dyDescent="0.35">
      <c r="A275" s="14" t="s">
        <v>11</v>
      </c>
    </row>
    <row r="276" spans="1:2" ht="18" x14ac:dyDescent="0.35">
      <c r="A276" s="14"/>
    </row>
    <row r="277" spans="1:2" x14ac:dyDescent="0.3">
      <c r="A277" s="13">
        <v>1</v>
      </c>
      <c r="B277" t="s">
        <v>112</v>
      </c>
    </row>
    <row r="278" spans="1:2" x14ac:dyDescent="0.3">
      <c r="A278" s="12">
        <v>2</v>
      </c>
      <c r="B278" t="s">
        <v>52</v>
      </c>
    </row>
    <row r="279" spans="1:2" x14ac:dyDescent="0.3">
      <c r="A279" s="12"/>
    </row>
    <row r="280" spans="1:2" x14ac:dyDescent="0.3">
      <c r="A280" s="12">
        <v>3</v>
      </c>
      <c r="B280" t="s">
        <v>98</v>
      </c>
    </row>
    <row r="281" spans="1:2" x14ac:dyDescent="0.3">
      <c r="A281" s="12"/>
    </row>
    <row r="282" spans="1:2" x14ac:dyDescent="0.3">
      <c r="A282" s="12"/>
    </row>
    <row r="283" spans="1:2" x14ac:dyDescent="0.3">
      <c r="A283" s="12"/>
    </row>
    <row r="284" spans="1:2" x14ac:dyDescent="0.3">
      <c r="A284" s="12"/>
    </row>
    <row r="285" spans="1:2" x14ac:dyDescent="0.3">
      <c r="A285" s="12"/>
    </row>
    <row r="286" spans="1:2" x14ac:dyDescent="0.3">
      <c r="A286" s="12"/>
    </row>
    <row r="287" spans="1:2" x14ac:dyDescent="0.3">
      <c r="A287" s="12"/>
    </row>
    <row r="288" spans="1:2" x14ac:dyDescent="0.3">
      <c r="A288" s="12"/>
    </row>
    <row r="289" spans="1:1" x14ac:dyDescent="0.3">
      <c r="A289" s="12"/>
    </row>
    <row r="290" spans="1:1" x14ac:dyDescent="0.3">
      <c r="A290" s="12"/>
    </row>
    <row r="291" spans="1:1" x14ac:dyDescent="0.3">
      <c r="A291" s="12"/>
    </row>
    <row r="292" spans="1:1" x14ac:dyDescent="0.3">
      <c r="A292" s="12"/>
    </row>
    <row r="293" spans="1:1" x14ac:dyDescent="0.3">
      <c r="A293" s="12"/>
    </row>
    <row r="294" spans="1:1" x14ac:dyDescent="0.3">
      <c r="A294" s="12"/>
    </row>
    <row r="295" spans="1:1" x14ac:dyDescent="0.3">
      <c r="A295" s="12"/>
    </row>
    <row r="296" spans="1:1" x14ac:dyDescent="0.3">
      <c r="A296" s="12"/>
    </row>
    <row r="297" spans="1:1" x14ac:dyDescent="0.3">
      <c r="A297" s="12"/>
    </row>
    <row r="298" spans="1:1" x14ac:dyDescent="0.3">
      <c r="A298" s="12"/>
    </row>
    <row r="299" spans="1:1" x14ac:dyDescent="0.3">
      <c r="A299" s="12"/>
    </row>
    <row r="301" spans="1:1" x14ac:dyDescent="0.3">
      <c r="A301" s="12"/>
    </row>
    <row r="302" spans="1:1" x14ac:dyDescent="0.3">
      <c r="A302" s="12"/>
    </row>
    <row r="303" spans="1:1" x14ac:dyDescent="0.3">
      <c r="A303" s="12"/>
    </row>
    <row r="304" spans="1:1" x14ac:dyDescent="0.3">
      <c r="A304" s="12"/>
    </row>
    <row r="305" spans="1:1" x14ac:dyDescent="0.3">
      <c r="A305" s="12"/>
    </row>
    <row r="306" spans="1:1" x14ac:dyDescent="0.3">
      <c r="A306" s="12"/>
    </row>
    <row r="307" spans="1:1" x14ac:dyDescent="0.3">
      <c r="A307" s="12"/>
    </row>
    <row r="308" spans="1:1" x14ac:dyDescent="0.3">
      <c r="A308" s="1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3"/>
  <sheetViews>
    <sheetView topLeftCell="A7" workbookViewId="0">
      <selection activeCell="B25" sqref="B25"/>
    </sheetView>
  </sheetViews>
  <sheetFormatPr defaultRowHeight="14.4" x14ac:dyDescent="0.3"/>
  <sheetData>
    <row r="4" spans="1:1" x14ac:dyDescent="0.3">
      <c r="A4" t="s">
        <v>154</v>
      </c>
    </row>
    <row r="23" spans="1:1" x14ac:dyDescent="0.3">
      <c r="A23" t="s">
        <v>174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Graphs</vt:lpstr>
    </vt:vector>
  </TitlesOfParts>
  <Company>NASA - Code 540</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jtriley</dc:creator>
  <cp:lastModifiedBy>John Riley</cp:lastModifiedBy>
  <cp:lastPrinted>2013-12-07T20:05:30Z</cp:lastPrinted>
  <dcterms:created xsi:type="dcterms:W3CDTF">2013-10-29T11:38:38Z</dcterms:created>
  <dcterms:modified xsi:type="dcterms:W3CDTF">2013-12-11T12:47:06Z</dcterms:modified>
</cp:coreProperties>
</file>